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\UD\B\Axa 371\Contractare\CTR8\"/>
    </mc:Choice>
  </mc:AlternateContent>
  <xr:revisionPtr revIDLastSave="0" documentId="13_ncr:1_{C6E57527-608F-4E6F-91C6-1E5B5EBC7286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1" sheetId="2" r:id="rId1"/>
  </sheets>
  <externalReferences>
    <externalReference r:id="rId2"/>
    <externalReference r:id="rId3"/>
  </externalReferences>
  <definedNames>
    <definedName name="_xlnm.Print_Area" localSheetId="0">Sheet1!$A$1:$L$86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" l="1"/>
  <c r="E27" i="2"/>
  <c r="J66" i="2"/>
  <c r="H61" i="2"/>
  <c r="G61" i="2"/>
  <c r="G66" i="2" s="1"/>
  <c r="K61" i="2"/>
  <c r="J61" i="2"/>
  <c r="J27" i="2"/>
  <c r="E61" i="2"/>
  <c r="J58" i="2"/>
  <c r="G59" i="2"/>
  <c r="D23" i="2"/>
  <c r="D27" i="2"/>
  <c r="D24" i="2"/>
  <c r="J59" i="2"/>
  <c r="G49" i="2"/>
  <c r="G47" i="2"/>
  <c r="G41" i="2"/>
  <c r="G39" i="2"/>
  <c r="G23" i="2"/>
  <c r="D59" i="2"/>
  <c r="D58" i="2"/>
  <c r="G58" i="2"/>
  <c r="G38" i="2"/>
  <c r="D37" i="2"/>
  <c r="D36" i="2"/>
  <c r="D35" i="2"/>
  <c r="D34" i="2"/>
  <c r="D33" i="2"/>
  <c r="D32" i="2"/>
  <c r="D31" i="2"/>
  <c r="D30" i="2"/>
  <c r="D29" i="2"/>
  <c r="D28" i="2"/>
  <c r="G26" i="2"/>
  <c r="D26" i="2"/>
  <c r="G25" i="2"/>
  <c r="D25" i="2"/>
  <c r="G19" i="2"/>
  <c r="G15" i="2"/>
  <c r="D15" i="2"/>
  <c r="G14" i="2"/>
  <c r="D14" i="2"/>
  <c r="G13" i="2"/>
  <c r="D13" i="2"/>
  <c r="D49" i="2"/>
  <c r="D47" i="2"/>
  <c r="D41" i="2"/>
  <c r="D39" i="2"/>
  <c r="D38" i="2"/>
  <c r="D19" i="2"/>
  <c r="N20" i="2"/>
  <c r="N43" i="2"/>
  <c r="N50" i="2"/>
  <c r="N61" i="2"/>
  <c r="N66" i="2"/>
  <c r="N14" i="2"/>
  <c r="N15" i="2"/>
  <c r="N16" i="2"/>
  <c r="N17" i="2"/>
  <c r="N18" i="2"/>
  <c r="N19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4" i="2"/>
  <c r="N45" i="2"/>
  <c r="N46" i="2"/>
  <c r="N47" i="2"/>
  <c r="N48" i="2"/>
  <c r="N49" i="2"/>
  <c r="N51" i="2"/>
  <c r="N52" i="2"/>
  <c r="N53" i="2"/>
  <c r="N54" i="2"/>
  <c r="N55" i="2"/>
  <c r="N56" i="2"/>
  <c r="N57" i="2"/>
  <c r="N58" i="2"/>
  <c r="N59" i="2"/>
  <c r="N60" i="2"/>
  <c r="N62" i="2"/>
  <c r="N63" i="2"/>
  <c r="N64" i="2"/>
  <c r="N65" i="2"/>
  <c r="N13" i="2"/>
  <c r="M66" i="2"/>
  <c r="M65" i="2"/>
  <c r="M64" i="2"/>
  <c r="M61" i="2"/>
  <c r="M60" i="2"/>
  <c r="M59" i="2"/>
  <c r="M58" i="2"/>
  <c r="M50" i="2"/>
  <c r="M49" i="2"/>
  <c r="M47" i="2"/>
  <c r="M46" i="2"/>
  <c r="M43" i="2"/>
  <c r="M41" i="2"/>
  <c r="M39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23" i="2"/>
  <c r="M21" i="2"/>
  <c r="M22" i="2"/>
  <c r="M20" i="2"/>
  <c r="M14" i="2"/>
  <c r="M15" i="2"/>
  <c r="M16" i="2"/>
  <c r="M17" i="2"/>
  <c r="M18" i="2"/>
  <c r="M19" i="2"/>
  <c r="M13" i="2"/>
  <c r="L66" i="2"/>
  <c r="L65" i="2"/>
  <c r="L64" i="2"/>
  <c r="L61" i="2"/>
  <c r="L60" i="2"/>
  <c r="L58" i="2" l="1"/>
  <c r="L50" i="2"/>
  <c r="L59" i="2"/>
  <c r="L49" i="2"/>
  <c r="L46" i="2"/>
  <c r="L23" i="2"/>
  <c r="L41" i="2"/>
  <c r="L39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20" i="2"/>
  <c r="L18" i="2"/>
  <c r="L19" i="2"/>
  <c r="L14" i="2"/>
  <c r="L15" i="2"/>
  <c r="L16" i="2"/>
  <c r="L17" i="2"/>
  <c r="L13" i="2"/>
  <c r="L21" i="2"/>
  <c r="L22" i="2"/>
  <c r="L47" i="2"/>
  <c r="L48" i="2"/>
  <c r="F24" i="2" l="1"/>
  <c r="C24" i="2"/>
  <c r="O19" i="2" s="1"/>
  <c r="H14" i="2"/>
  <c r="I14" i="2"/>
  <c r="H15" i="2"/>
  <c r="I15" i="2"/>
  <c r="F27" i="2"/>
  <c r="G27" i="2"/>
  <c r="H27" i="2"/>
  <c r="C27" i="2"/>
  <c r="H26" i="2"/>
  <c r="I26" i="2"/>
  <c r="I24" i="2" s="1"/>
  <c r="I28" i="2"/>
  <c r="I29" i="2"/>
  <c r="I30" i="2"/>
  <c r="I31" i="2"/>
  <c r="I32" i="2"/>
  <c r="I33" i="2"/>
  <c r="I34" i="2"/>
  <c r="I35" i="2"/>
  <c r="I36" i="2"/>
  <c r="I37" i="2"/>
  <c r="E26" i="2"/>
  <c r="E28" i="2"/>
  <c r="K28" i="2" s="1"/>
  <c r="E29" i="2"/>
  <c r="K29" i="2" s="1"/>
  <c r="E30" i="2"/>
  <c r="K30" i="2" s="1"/>
  <c r="E31" i="2"/>
  <c r="K31" i="2" s="1"/>
  <c r="E32" i="2"/>
  <c r="K32" i="2" s="1"/>
  <c r="E33" i="2"/>
  <c r="K33" i="2" s="1"/>
  <c r="E34" i="2"/>
  <c r="K34" i="2" s="1"/>
  <c r="E35" i="2"/>
  <c r="K35" i="2" s="1"/>
  <c r="E36" i="2"/>
  <c r="K36" i="2" s="1"/>
  <c r="E37" i="2"/>
  <c r="K37" i="2" s="1"/>
  <c r="C23" i="2" l="1"/>
  <c r="C43" i="2" s="1"/>
  <c r="J15" i="2"/>
  <c r="J14" i="2"/>
  <c r="I27" i="2"/>
  <c r="E15" i="2"/>
  <c r="K15" i="2" s="1"/>
  <c r="E14" i="2"/>
  <c r="K14" i="2" s="1"/>
  <c r="K26" i="2"/>
  <c r="K24" i="2" s="1"/>
  <c r="J36" i="2"/>
  <c r="J35" i="2"/>
  <c r="J32" i="2"/>
  <c r="J31" i="2"/>
  <c r="J37" i="2"/>
  <c r="J26" i="2"/>
  <c r="J24" i="2" s="1"/>
  <c r="J28" i="2"/>
  <c r="J33" i="2"/>
  <c r="J29" i="2"/>
  <c r="J34" i="2"/>
  <c r="J30" i="2"/>
  <c r="G24" i="2" l="1"/>
  <c r="H25" i="2" l="1"/>
  <c r="H24" i="2" s="1"/>
  <c r="E25" i="2"/>
  <c r="E24" i="2" s="1"/>
  <c r="F23" i="2" l="1"/>
  <c r="F43" i="2" s="1"/>
  <c r="O49" i="2" l="1"/>
  <c r="O52" i="2"/>
  <c r="I38" i="2"/>
  <c r="H38" i="2"/>
  <c r="I59" i="2"/>
  <c r="H59" i="2"/>
  <c r="I58" i="2"/>
  <c r="H58" i="2"/>
  <c r="I49" i="2"/>
  <c r="H49" i="2"/>
  <c r="I47" i="2"/>
  <c r="H47" i="2"/>
  <c r="I41" i="2"/>
  <c r="H41" i="2"/>
  <c r="I39" i="2"/>
  <c r="H39" i="2"/>
  <c r="I23" i="2"/>
  <c r="I19" i="2"/>
  <c r="H19" i="2"/>
  <c r="I13" i="2"/>
  <c r="H13" i="2"/>
  <c r="E13" i="2"/>
  <c r="I43" i="2" l="1"/>
  <c r="H23" i="2"/>
  <c r="H43" i="2" s="1"/>
  <c r="G43" i="2"/>
  <c r="J13" i="2"/>
  <c r="J16" i="2" s="1"/>
  <c r="D43" i="2"/>
  <c r="K13" i="2"/>
  <c r="K16" i="2" s="1"/>
  <c r="J38" i="2"/>
  <c r="J47" i="2"/>
  <c r="J46" i="2" s="1"/>
  <c r="J19" i="2"/>
  <c r="J20" i="2" s="1"/>
  <c r="J60" i="2"/>
  <c r="J49" i="2"/>
  <c r="J41" i="2"/>
  <c r="J39" i="2"/>
  <c r="E38" i="2"/>
  <c r="K38" i="2" s="1"/>
  <c r="E59" i="2"/>
  <c r="K59" i="2" s="1"/>
  <c r="E58" i="2"/>
  <c r="K58" i="2" s="1"/>
  <c r="E49" i="2"/>
  <c r="K49" i="2" s="1"/>
  <c r="E47" i="2"/>
  <c r="K47" i="2" s="1"/>
  <c r="E41" i="2"/>
  <c r="K41" i="2" s="1"/>
  <c r="E39" i="2"/>
  <c r="K39" i="2" s="1"/>
  <c r="J23" i="2"/>
  <c r="E23" i="2"/>
  <c r="E19" i="2"/>
  <c r="K19" i="2" s="1"/>
  <c r="K20" i="2" s="1"/>
  <c r="C46" i="2"/>
  <c r="D46" i="2"/>
  <c r="F46" i="2"/>
  <c r="G46" i="2"/>
  <c r="H46" i="2"/>
  <c r="I46" i="2"/>
  <c r="E16" i="2"/>
  <c r="D50" i="2"/>
  <c r="F50" i="2"/>
  <c r="G50" i="2"/>
  <c r="H50" i="2"/>
  <c r="I50" i="2"/>
  <c r="C50" i="2"/>
  <c r="C16" i="2"/>
  <c r="D16" i="2"/>
  <c r="I16" i="2"/>
  <c r="I60" i="2"/>
  <c r="H60" i="2"/>
  <c r="G60" i="2"/>
  <c r="F60" i="2"/>
  <c r="D60" i="2"/>
  <c r="C60" i="2"/>
  <c r="K55" i="2"/>
  <c r="J55" i="2"/>
  <c r="I55" i="2"/>
  <c r="E55" i="2"/>
  <c r="D55" i="2"/>
  <c r="C55" i="2"/>
  <c r="I20" i="2"/>
  <c r="H20" i="2"/>
  <c r="G20" i="2"/>
  <c r="F20" i="2"/>
  <c r="D20" i="2"/>
  <c r="C20" i="2"/>
  <c r="H16" i="2"/>
  <c r="G16" i="2"/>
  <c r="F16" i="2"/>
  <c r="O40" i="2" s="1"/>
  <c r="O47" i="2" s="1"/>
  <c r="J43" i="2" l="1"/>
  <c r="K23" i="2"/>
  <c r="K43" i="2" s="1"/>
  <c r="E43" i="2"/>
  <c r="E20" i="2"/>
  <c r="E46" i="2"/>
  <c r="K50" i="2"/>
  <c r="K46" i="2"/>
  <c r="E50" i="2"/>
  <c r="J50" i="2"/>
  <c r="K60" i="2"/>
  <c r="O5" i="2"/>
  <c r="O58" i="2"/>
  <c r="E60" i="2"/>
  <c r="F61" i="2"/>
  <c r="C61" i="2"/>
  <c r="I61" i="2"/>
  <c r="I66" i="2" s="1"/>
  <c r="D61" i="2"/>
  <c r="D66" i="2" s="1"/>
  <c r="K66" i="2" l="1"/>
  <c r="O59" i="2"/>
  <c r="C64" i="2"/>
  <c r="E64" i="2" s="1"/>
  <c r="E65" i="2" s="1"/>
  <c r="E66" i="2" l="1"/>
  <c r="C65" i="2"/>
  <c r="C66" i="2" s="1"/>
  <c r="F64" i="2"/>
  <c r="F65" i="2" s="1"/>
  <c r="F66" i="2" s="1"/>
  <c r="H64" i="2" l="1"/>
  <c r="H65" i="2" s="1"/>
  <c r="H66" i="2" s="1"/>
  <c r="L43" i="2" l="1"/>
</calcChain>
</file>

<file path=xl/sharedStrings.xml><?xml version="1.0" encoding="utf-8"?>
<sst xmlns="http://schemas.openxmlformats.org/spreadsheetml/2006/main" count="99" uniqueCount="85">
  <si>
    <t>Nr. crt.</t>
  </si>
  <si>
    <t>Denumirea   capitolelor   și   a subcapitolelor de cheltuieli</t>
  </si>
  <si>
    <t>Valoarea totală</t>
  </si>
  <si>
    <t>Valoarea eligibilă</t>
  </si>
  <si>
    <t>Valoarea neeligibilă</t>
  </si>
  <si>
    <r>
      <rPr>
        <b/>
        <sz val="11.5"/>
        <rFont val="Verdana"/>
        <family val="2"/>
      </rPr>
      <t>Valoarea
(fără TVA)</t>
    </r>
  </si>
  <si>
    <t>TVA</t>
  </si>
  <si>
    <t>Valoare cu TVA</t>
  </si>
  <si>
    <t>lei</t>
  </si>
  <si>
    <t>CHELTUIELI DIRECTE</t>
  </si>
  <si>
    <t>CAPITOLUL 1- Cheltuieli pentru obținerea și amenajarea terenului</t>
  </si>
  <si>
    <t>1.1.</t>
  </si>
  <si>
    <t>Obținerea terenului</t>
  </si>
  <si>
    <t>1.2.</t>
  </si>
  <si>
    <t>Amenajarea terenului</t>
  </si>
  <si>
    <t>1.3.</t>
  </si>
  <si>
    <t>1.4.</t>
  </si>
  <si>
    <t>TOTAL CAPITOL 1</t>
  </si>
  <si>
    <t>CAPITOLUL 2 - Cheltuieli pentru asigurarea utilităților necesare obiectivului de investiții</t>
  </si>
  <si>
    <t>TOTAL CAPITOL 2</t>
  </si>
  <si>
    <t>CAPITOLUL 4 - Cheltuieli pentru investiția de bază</t>
  </si>
  <si>
    <t>4.1.</t>
  </si>
  <si>
    <t>Construcții și instalații</t>
  </si>
  <si>
    <t>4.2.</t>
  </si>
  <si>
    <t>Montaj   utilaje,   echipamente tehnologice și funcționale</t>
  </si>
  <si>
    <t>4.3.</t>
  </si>
  <si>
    <t>4.4.</t>
  </si>
  <si>
    <t>4.5.</t>
  </si>
  <si>
    <t>Dotări</t>
  </si>
  <si>
    <t>4.6.</t>
  </si>
  <si>
    <t>Active necorporale</t>
  </si>
  <si>
    <t>TOTAL CAPITOL 4</t>
  </si>
  <si>
    <t>CAPITOLUL 5 - Alte cheltuieli</t>
  </si>
  <si>
    <t>5.1.</t>
  </si>
  <si>
    <t>Organizare de șantier</t>
  </si>
  <si>
    <t>5.1.1.</t>
  </si>
  <si>
    <t>5.1.2.</t>
  </si>
  <si>
    <t>Cheltuieli  conexe  organizării șantierului</t>
  </si>
  <si>
    <t>5.3.</t>
  </si>
  <si>
    <t>Cheltuieli         diverse         și neprevăzute</t>
  </si>
  <si>
    <t>TOTAL CAPITOL 5</t>
  </si>
  <si>
    <t>CAPITOLUL 6 - Cheltuieli pentru probe tehnologice și teste</t>
  </si>
  <si>
    <t>6.1.</t>
  </si>
  <si>
    <t>Pregătirea    personalului    de exploatare</t>
  </si>
  <si>
    <t>6.2.</t>
  </si>
  <si>
    <t>Probe tehnologice și teste</t>
  </si>
  <si>
    <t>TOTAL CAPITOL 6</t>
  </si>
  <si>
    <t>CAPITOLUL 7 - Cheltuieli aferente marjei de buget și pentru constituirea rezervei de implementare pentru ajustarea de preț</t>
  </si>
  <si>
    <t>7.1.</t>
  </si>
  <si>
    <t>7.2.</t>
  </si>
  <si>
    <t>TOTAL CAPITOL 7</t>
  </si>
  <si>
    <t>TOTAL CHELTUIELI DIRECTE</t>
  </si>
  <si>
    <t>CHELTUIELI INDIRECTE</t>
  </si>
  <si>
    <t>Celtuieli    indirecte(7%    din valoarea cheltuielilor directe)</t>
  </si>
  <si>
    <t>TOTAL                 CHELTUIELI INDIRECTE</t>
  </si>
  <si>
    <t>TOTAL GENERAL</t>
  </si>
  <si>
    <t xml:space="preserve">Proiectant
Nume
Data
Semnatura
</t>
  </si>
  <si>
    <t>CENTRALIZATOR
al proiectului
SISTEMATIZARE VERTICALA CASA POCOL
(denumirea proiectului)</t>
  </si>
  <si>
    <t>corect</t>
  </si>
  <si>
    <t>real</t>
  </si>
  <si>
    <t>d+n</t>
  </si>
  <si>
    <t>D+N</t>
  </si>
  <si>
    <t>Arhitectura - pavaje neeligibil</t>
  </si>
  <si>
    <t>Arhitectura - gard si porti</t>
  </si>
  <si>
    <t>Arhitectura - refacere</t>
  </si>
  <si>
    <t>Rezistenta</t>
  </si>
  <si>
    <t>Instalatii sanitare exterioare -alimentare cu apa rece</t>
  </si>
  <si>
    <t>Instalatii sanitare exterioare -canalizare menajera + pluviala</t>
  </si>
  <si>
    <t>Instalatii sanitare interioare -alimentare cu apa rece</t>
  </si>
  <si>
    <t>Instalatii sanitare interioare -canalizare menajera</t>
  </si>
  <si>
    <t>Instalatii termice</t>
  </si>
  <si>
    <t>Instalatii electrice</t>
  </si>
  <si>
    <t>Amenajări   pentru   protecția
mediului și aducerea la starea
inițială</t>
  </si>
  <si>
    <t>Cheltuieli                     pentru
relocarea/protecția utilităților</t>
  </si>
  <si>
    <t>Cheltuieli   pentru   asigurarea
utilităților                 necesare obiectivului</t>
  </si>
  <si>
    <t>Utilaje,               echipamente tehnologice și funcționale care
necesită montaj</t>
  </si>
  <si>
    <t>Utilaje,               echipamente tehnologice și funcționale care nu     necesită     montaj     și
echipamente de transport</t>
  </si>
  <si>
    <t>Lucrări    de    construcții    și instalații  aferente  organizării
de șantier</t>
  </si>
  <si>
    <t>Cheltuieli  aferente  marjei  de buget 25% din (1.2 + 1.3 +
1.4 + 2 + 3.1 + 3.2 + 3.3 +
3.5 + 3.7 + 3.8 + 4 + 5.1.1)</t>
  </si>
  <si>
    <t>Cheltuieli  pentru  constituirea
rezervei    de    implementare pentru ajustarea de preț</t>
  </si>
  <si>
    <t xml:space="preserve">Cheltuieli conexe (complementare) </t>
  </si>
  <si>
    <t>Cheltuieli obligatorii</t>
  </si>
  <si>
    <t>Arhitectura - pavaje si zone verzi (pavaje cu scoarta de copaci, pavaje dale inierbate, gazon, lucrari la nivelul plantelor)</t>
  </si>
  <si>
    <t>Amenajarea terenului - arhitectura si desfaceri</t>
  </si>
  <si>
    <t xml:space="preserve">Beneficiar
Nume: Ioan Doru Dancus                                                                                                                                                                                                                                                                                                                                                    Primar
Data
Semnatura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</si>
</sst>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0"/>
      <color rgb="FF000000"/>
      <name val="Times New Roman"/>
      <charset val="204"/>
    </font>
    <font>
      <sz val="11.5"/>
      <name val="Verdana"/>
      <family val="2"/>
    </font>
    <font>
      <b/>
      <sz val="11.5"/>
      <color theme="0"/>
      <name val="Verdana"/>
      <family val="2"/>
    </font>
    <font>
      <b/>
      <sz val="11.5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b/>
      <sz val="10"/>
      <color rgb="FF000000"/>
      <name val="Verdana"/>
      <family val="2"/>
    </font>
    <font>
      <sz val="10"/>
      <color theme="0"/>
      <name val="Verdana"/>
      <family val="2"/>
    </font>
    <font>
      <sz val="11.5"/>
      <color rgb="FF000000"/>
      <name val="Verdana"/>
      <family val="2"/>
    </font>
    <font>
      <b/>
      <sz val="11.5"/>
      <color rgb="FF000000"/>
      <name val="Verdana"/>
      <family val="2"/>
    </font>
    <font>
      <sz val="11.5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Alignment="1">
      <alignment horizontal="left"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>
      <alignment horizontal="center" vertical="top" wrapText="1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2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8" fillId="0" borderId="8" xfId="0" applyNumberFormat="1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56062</xdr:colOff>
      <xdr:row>0</xdr:row>
      <xdr:rowOff>1864179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40084" cy="1864179"/>
        </a:xfrm>
        <a:prstGeom prst="rect">
          <a:avLst/>
        </a:prstGeom>
      </xdr:spPr>
    </xdr:pic>
    <xdr:clientData/>
  </xdr:twoCellAnchor>
  <xdr:twoCellAnchor editAs="oneCell">
    <xdr:from>
      <xdr:col>3</xdr:col>
      <xdr:colOff>456724</xdr:colOff>
      <xdr:row>67</xdr:row>
      <xdr:rowOff>11431</xdr:rowOff>
    </xdr:from>
    <xdr:to>
      <xdr:col>7</xdr:col>
      <xdr:colOff>1350168</xdr:colOff>
      <xdr:row>80</xdr:row>
      <xdr:rowOff>150603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568" y="18132744"/>
          <a:ext cx="9364979" cy="219180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65</xdr:row>
      <xdr:rowOff>179456</xdr:rowOff>
    </xdr:from>
    <xdr:to>
      <xdr:col>10</xdr:col>
      <xdr:colOff>367985</xdr:colOff>
      <xdr:row>76</xdr:row>
      <xdr:rowOff>69021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83152" y="24240434"/>
          <a:ext cx="3901898" cy="306456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2</xdr:col>
      <xdr:colOff>1384679</xdr:colOff>
      <xdr:row>72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761" y="24240435"/>
          <a:ext cx="3455331" cy="23329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mona/Acasa/00.2025/Pocol%20371/CTR7/CTR7_Anexa%201_I%2019-CENTRALIZATOR_CHELTUIELI_PROIECT%20OBLIGATOR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mona/Acasa/00.2025/Pocol%20371/CTR7/CTR7_Anexa%201_I%2019-CENTRALIZATOR_CHELTUIELI%20conexe_PROI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3">
          <cell r="E13">
            <v>0</v>
          </cell>
          <cell r="H13">
            <v>0</v>
          </cell>
          <cell r="K13">
            <v>0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3">
          <cell r="E23">
            <v>3436172.9808000005</v>
          </cell>
          <cell r="H23">
            <v>3436172.9808000005</v>
          </cell>
          <cell r="K23">
            <v>0</v>
          </cell>
        </row>
        <row r="39">
          <cell r="E39"/>
          <cell r="H39"/>
        </row>
        <row r="41">
          <cell r="E41"/>
          <cell r="H41"/>
        </row>
        <row r="43">
          <cell r="E43">
            <v>3436172.9808000005</v>
          </cell>
          <cell r="H43">
            <v>3436172.9808000005</v>
          </cell>
          <cell r="K43">
            <v>0</v>
          </cell>
        </row>
        <row r="46">
          <cell r="E46">
            <v>97931.645000000004</v>
          </cell>
          <cell r="H46">
            <v>97931.645000000004</v>
          </cell>
        </row>
        <row r="47">
          <cell r="H47">
            <v>97931.645000000004</v>
          </cell>
        </row>
        <row r="49">
          <cell r="E49">
            <v>1173863.4095999999</v>
          </cell>
          <cell r="H49">
            <v>405762.63</v>
          </cell>
        </row>
        <row r="50">
          <cell r="E50">
            <v>1271795.0545999999</v>
          </cell>
          <cell r="H50">
            <v>503694.27500000002</v>
          </cell>
          <cell r="K50">
            <v>768100.77959999989</v>
          </cell>
        </row>
        <row r="58">
          <cell r="E58">
            <v>1183848.7115</v>
          </cell>
          <cell r="H58">
            <v>0</v>
          </cell>
        </row>
        <row r="59">
          <cell r="H59">
            <v>380778.56809999997</v>
          </cell>
        </row>
        <row r="60">
          <cell r="E60">
            <v>2367434.0403</v>
          </cell>
          <cell r="H60">
            <v>380778.56809999997</v>
          </cell>
        </row>
        <row r="61">
          <cell r="E61">
            <v>7075402.0756999999</v>
          </cell>
          <cell r="H61">
            <v>4320645.8239000002</v>
          </cell>
          <cell r="K61">
            <v>2754756.2418</v>
          </cell>
        </row>
        <row r="64">
          <cell r="E64">
            <v>302445.20767300006</v>
          </cell>
          <cell r="H64">
            <v>302445.20767300006</v>
          </cell>
        </row>
        <row r="65">
          <cell r="E65">
            <v>302445.20767300006</v>
          </cell>
          <cell r="H65">
            <v>302445.20767300006</v>
          </cell>
        </row>
        <row r="66">
          <cell r="E66">
            <v>7377847.2833730001</v>
          </cell>
          <cell r="H66">
            <v>4623091.0415730001</v>
          </cell>
          <cell r="K66">
            <v>2754756.2418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3">
          <cell r="E13">
            <v>0</v>
          </cell>
          <cell r="H13">
            <v>0</v>
          </cell>
          <cell r="K13">
            <v>0</v>
          </cell>
        </row>
        <row r="20">
          <cell r="E20">
            <v>2800.6530999999995</v>
          </cell>
          <cell r="H20">
            <v>0</v>
          </cell>
          <cell r="K20">
            <v>2800.6530999999995</v>
          </cell>
        </row>
        <row r="23">
          <cell r="E23">
            <v>6662391.7269000001</v>
          </cell>
          <cell r="H23">
            <v>0</v>
          </cell>
          <cell r="K23">
            <v>6662391.7269000001</v>
          </cell>
        </row>
        <row r="39">
          <cell r="E39">
            <v>670566.45179999992</v>
          </cell>
          <cell r="H39">
            <v>341708.5</v>
          </cell>
        </row>
        <row r="41">
          <cell r="E41">
            <v>284090.49690000003</v>
          </cell>
          <cell r="H41">
            <v>279751.93540000002</v>
          </cell>
        </row>
        <row r="43">
          <cell r="E43">
            <v>7725203.5391999995</v>
          </cell>
          <cell r="H43">
            <v>621460.43540000007</v>
          </cell>
          <cell r="K43">
            <v>7103743.1037999997</v>
          </cell>
        </row>
        <row r="46">
          <cell r="E46">
            <v>0</v>
          </cell>
          <cell r="H46">
            <v>0</v>
          </cell>
        </row>
        <row r="47">
          <cell r="H47">
            <v>0</v>
          </cell>
        </row>
        <row r="49">
          <cell r="E49">
            <v>0</v>
          </cell>
          <cell r="H49">
            <v>0</v>
          </cell>
        </row>
        <row r="50">
          <cell r="E50">
            <v>0</v>
          </cell>
          <cell r="H50">
            <v>0</v>
          </cell>
          <cell r="K50">
            <v>0</v>
          </cell>
        </row>
        <row r="58">
          <cell r="E58">
            <v>0</v>
          </cell>
          <cell r="H58">
            <v>0</v>
          </cell>
        </row>
        <row r="59">
          <cell r="H59">
            <v>0</v>
          </cell>
        </row>
        <row r="60">
          <cell r="E60">
            <v>0</v>
          </cell>
          <cell r="H60">
            <v>0</v>
          </cell>
        </row>
        <row r="61">
          <cell r="E61">
            <v>7728004.1922999993</v>
          </cell>
          <cell r="H61">
            <v>621460.43540000007</v>
          </cell>
          <cell r="K61">
            <v>7106543.7468999997</v>
          </cell>
        </row>
        <row r="64">
          <cell r="E64">
            <v>43502.230478000012</v>
          </cell>
          <cell r="H64">
            <v>43502.230478000012</v>
          </cell>
        </row>
        <row r="65">
          <cell r="E65">
            <v>43502.230478000012</v>
          </cell>
          <cell r="H65">
            <v>43502.230478000012</v>
          </cell>
        </row>
        <row r="66">
          <cell r="E66">
            <v>7771506.4227779992</v>
          </cell>
          <cell r="H66">
            <v>664962.6758780001</v>
          </cell>
          <cell r="K66">
            <v>7106543.7468999997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zoomScale="69" zoomScaleNormal="69" workbookViewId="0">
      <selection activeCell="L67" sqref="L67"/>
    </sheetView>
  </sheetViews>
  <sheetFormatPr defaultColWidth="8.83203125" defaultRowHeight="12.75" x14ac:dyDescent="0.2"/>
  <cols>
    <col min="1" max="1" width="8.83203125" style="2"/>
    <col min="2" max="2" width="36.33203125" style="2" customWidth="1"/>
    <col min="3" max="12" width="30.83203125" style="2" customWidth="1"/>
    <col min="13" max="13" width="27.83203125" style="2" customWidth="1"/>
    <col min="14" max="14" width="27" style="2" customWidth="1"/>
    <col min="15" max="15" width="36.1640625" style="2" customWidth="1"/>
    <col min="16" max="16384" width="8.83203125" style="2"/>
  </cols>
  <sheetData>
    <row r="1" spans="1:15" ht="153" customHeight="1" x14ac:dyDescent="0.2"/>
    <row r="2" spans="1:15" ht="111" customHeight="1" x14ac:dyDescent="0.2">
      <c r="A2" s="69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O2" s="2" t="s">
        <v>60</v>
      </c>
    </row>
    <row r="5" spans="1:15" x14ac:dyDescent="0.2">
      <c r="O5" s="2">
        <f>0.1*(F13+F20+F43)</f>
        <v>340977.59800000006</v>
      </c>
    </row>
    <row r="6" spans="1:15" ht="14.25" x14ac:dyDescent="0.2">
      <c r="A6" s="79" t="s">
        <v>0</v>
      </c>
      <c r="B6" s="79" t="s">
        <v>1</v>
      </c>
      <c r="C6" s="82" t="s">
        <v>2</v>
      </c>
      <c r="D6" s="83"/>
      <c r="E6" s="84"/>
      <c r="F6" s="82" t="s">
        <v>3</v>
      </c>
      <c r="G6" s="83"/>
      <c r="H6" s="84"/>
      <c r="I6" s="82" t="s">
        <v>4</v>
      </c>
      <c r="J6" s="83"/>
      <c r="K6" s="84"/>
    </row>
    <row r="7" spans="1:15" ht="28.5" x14ac:dyDescent="0.2">
      <c r="A7" s="80"/>
      <c r="B7" s="80"/>
      <c r="C7" s="3" t="s">
        <v>5</v>
      </c>
      <c r="D7" s="4" t="s">
        <v>6</v>
      </c>
      <c r="E7" s="4" t="s">
        <v>7</v>
      </c>
      <c r="F7" s="3" t="s">
        <v>5</v>
      </c>
      <c r="G7" s="4" t="s">
        <v>6</v>
      </c>
      <c r="H7" s="4" t="s">
        <v>7</v>
      </c>
      <c r="I7" s="3" t="s">
        <v>5</v>
      </c>
      <c r="J7" s="4" t="s">
        <v>6</v>
      </c>
      <c r="K7" s="4" t="s">
        <v>7</v>
      </c>
    </row>
    <row r="8" spans="1:15" ht="14.25" x14ac:dyDescent="0.2">
      <c r="A8" s="81"/>
      <c r="B8" s="81"/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  <c r="H8" s="4" t="s">
        <v>8</v>
      </c>
      <c r="I8" s="4" t="s">
        <v>8</v>
      </c>
      <c r="J8" s="4" t="s">
        <v>8</v>
      </c>
      <c r="K8" s="4" t="s">
        <v>8</v>
      </c>
    </row>
    <row r="9" spans="1:15" ht="14.25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5" ht="14.25" x14ac:dyDescent="0.2">
      <c r="A10" s="64" t="s">
        <v>9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5" ht="14.25" x14ac:dyDescent="0.2">
      <c r="A11" s="71" t="s">
        <v>10</v>
      </c>
      <c r="B11" s="72"/>
      <c r="C11" s="72"/>
      <c r="D11" s="72"/>
      <c r="E11" s="72"/>
      <c r="F11" s="72"/>
      <c r="G11" s="72"/>
      <c r="H11" s="72"/>
      <c r="I11" s="72"/>
      <c r="J11" s="72"/>
      <c r="K11" s="73"/>
    </row>
    <row r="12" spans="1:15" ht="14.25" x14ac:dyDescent="0.2">
      <c r="A12" s="6" t="s">
        <v>11</v>
      </c>
      <c r="B12" s="6" t="s">
        <v>12</v>
      </c>
      <c r="C12" s="34"/>
      <c r="D12" s="34"/>
      <c r="E12" s="34"/>
      <c r="F12" s="34"/>
      <c r="G12" s="34"/>
      <c r="H12" s="34"/>
      <c r="I12" s="34"/>
      <c r="J12" s="34"/>
      <c r="K12" s="36"/>
    </row>
    <row r="13" spans="1:15" ht="14.25" x14ac:dyDescent="0.2">
      <c r="A13" s="6" t="s">
        <v>13</v>
      </c>
      <c r="B13" s="6" t="s">
        <v>14</v>
      </c>
      <c r="C13" s="34">
        <v>0</v>
      </c>
      <c r="D13" s="34">
        <f>C13*0.19</f>
        <v>0</v>
      </c>
      <c r="E13" s="34">
        <f>C13+D13</f>
        <v>0</v>
      </c>
      <c r="F13" s="34">
        <v>0</v>
      </c>
      <c r="G13" s="34">
        <f>F13*0.19</f>
        <v>0</v>
      </c>
      <c r="H13" s="34">
        <f>F13+G13</f>
        <v>0</v>
      </c>
      <c r="I13" s="34">
        <f>C13-F13</f>
        <v>0</v>
      </c>
      <c r="J13" s="34">
        <f t="shared" ref="J13:K13" si="0">D13-G13</f>
        <v>0</v>
      </c>
      <c r="K13" s="34">
        <f t="shared" si="0"/>
        <v>0</v>
      </c>
      <c r="L13" s="31">
        <f>[1]Sheet1!$E$13+[2]Sheet1!$E$13</f>
        <v>0</v>
      </c>
      <c r="M13" s="31">
        <f>[1]Sheet1!$H$13+[2]Sheet1!$H$13</f>
        <v>0</v>
      </c>
      <c r="N13" s="31">
        <f>[1]Sheet1!$K$13+[2]Sheet1!$K$13</f>
        <v>0</v>
      </c>
    </row>
    <row r="14" spans="1:15" ht="71.25" x14ac:dyDescent="0.2">
      <c r="A14" s="6" t="s">
        <v>15</v>
      </c>
      <c r="B14" s="6" t="s">
        <v>72</v>
      </c>
      <c r="C14" s="34">
        <v>0</v>
      </c>
      <c r="D14" s="34">
        <f t="shared" ref="D14:D15" si="1">C14*0.19</f>
        <v>0</v>
      </c>
      <c r="E14" s="34">
        <f t="shared" ref="E14:E15" si="2">C14+D14</f>
        <v>0</v>
      </c>
      <c r="F14" s="34">
        <v>0</v>
      </c>
      <c r="G14" s="34">
        <f t="shared" ref="G14:G15" si="3">F14*0.19</f>
        <v>0</v>
      </c>
      <c r="H14" s="34">
        <f t="shared" ref="H14:H15" si="4">F14+G14</f>
        <v>0</v>
      </c>
      <c r="I14" s="34">
        <f t="shared" ref="I14:I15" si="5">C14-F14</f>
        <v>0</v>
      </c>
      <c r="J14" s="34">
        <f t="shared" ref="J14:J15" si="6">D14-G14</f>
        <v>0</v>
      </c>
      <c r="K14" s="34">
        <f t="shared" ref="K14:K15" si="7">E14-H14</f>
        <v>0</v>
      </c>
      <c r="L14" s="31">
        <f>[1]Sheet1!$E$13+[2]Sheet1!$E$13</f>
        <v>0</v>
      </c>
      <c r="M14" s="31">
        <f>[1]Sheet1!$H$13+[2]Sheet1!$H$13</f>
        <v>0</v>
      </c>
      <c r="N14" s="31">
        <f>[1]Sheet1!$K$13+[2]Sheet1!$K$13</f>
        <v>0</v>
      </c>
    </row>
    <row r="15" spans="1:15" ht="57" x14ac:dyDescent="0.2">
      <c r="A15" s="6" t="s">
        <v>16</v>
      </c>
      <c r="B15" s="6" t="s">
        <v>73</v>
      </c>
      <c r="C15" s="34">
        <v>0</v>
      </c>
      <c r="D15" s="34">
        <f t="shared" si="1"/>
        <v>0</v>
      </c>
      <c r="E15" s="34">
        <f t="shared" si="2"/>
        <v>0</v>
      </c>
      <c r="F15" s="34">
        <v>0</v>
      </c>
      <c r="G15" s="34">
        <f t="shared" si="3"/>
        <v>0</v>
      </c>
      <c r="H15" s="34">
        <f t="shared" si="4"/>
        <v>0</v>
      </c>
      <c r="I15" s="34">
        <f t="shared" si="5"/>
        <v>0</v>
      </c>
      <c r="J15" s="34">
        <f t="shared" si="6"/>
        <v>0</v>
      </c>
      <c r="K15" s="34">
        <f t="shared" si="7"/>
        <v>0</v>
      </c>
      <c r="L15" s="31">
        <f>[1]Sheet1!$E$13+[2]Sheet1!$E$13</f>
        <v>0</v>
      </c>
      <c r="M15" s="31">
        <f>[1]Sheet1!$H$13+[2]Sheet1!$H$13</f>
        <v>0</v>
      </c>
      <c r="N15" s="31">
        <f>[1]Sheet1!$K$13+[2]Sheet1!$K$13</f>
        <v>0</v>
      </c>
    </row>
    <row r="16" spans="1:15" ht="14.25" x14ac:dyDescent="0.2">
      <c r="A16" s="37"/>
      <c r="B16" s="8" t="s">
        <v>17</v>
      </c>
      <c r="C16" s="38">
        <f>SUM(C12:C15)</f>
        <v>0</v>
      </c>
      <c r="D16" s="38">
        <f>SUM(D12:D15)</f>
        <v>0</v>
      </c>
      <c r="E16" s="38">
        <f>SUM(E12:E15)</f>
        <v>0</v>
      </c>
      <c r="F16" s="38">
        <f t="shared" ref="F16:J16" si="8">SUM(F12:F15)</f>
        <v>0</v>
      </c>
      <c r="G16" s="38">
        <f t="shared" si="8"/>
        <v>0</v>
      </c>
      <c r="H16" s="38">
        <f t="shared" si="8"/>
        <v>0</v>
      </c>
      <c r="I16" s="38">
        <f>SUM(I12:I15)</f>
        <v>0</v>
      </c>
      <c r="J16" s="38">
        <f t="shared" si="8"/>
        <v>0</v>
      </c>
      <c r="K16" s="38">
        <f>SUM(K12:K15)</f>
        <v>0</v>
      </c>
      <c r="L16" s="31">
        <f>[1]Sheet1!$E$13+[2]Sheet1!$E$13</f>
        <v>0</v>
      </c>
      <c r="M16" s="31">
        <f>[1]Sheet1!$H$13+[2]Sheet1!$H$13</f>
        <v>0</v>
      </c>
      <c r="N16" s="31">
        <f>[1]Sheet1!$K$13+[2]Sheet1!$K$13</f>
        <v>0</v>
      </c>
    </row>
    <row r="17" spans="1:15" s="10" customFormat="1" ht="14.25" x14ac:dyDescent="0.2">
      <c r="A17" s="39"/>
      <c r="B17" s="9"/>
      <c r="C17" s="40"/>
      <c r="D17" s="41"/>
      <c r="E17" s="41"/>
      <c r="F17" s="41"/>
      <c r="G17" s="41"/>
      <c r="H17" s="41"/>
      <c r="I17" s="41"/>
      <c r="J17" s="41"/>
      <c r="K17" s="42"/>
      <c r="L17" s="31">
        <f>[1]Sheet1!$E$13+[2]Sheet1!$E$13</f>
        <v>0</v>
      </c>
      <c r="M17" s="31">
        <f>[1]Sheet1!$H$13+[2]Sheet1!$H$13</f>
        <v>0</v>
      </c>
      <c r="N17" s="31">
        <f>[1]Sheet1!$K$13+[2]Sheet1!$K$13</f>
        <v>0</v>
      </c>
    </row>
    <row r="18" spans="1:15" ht="14.25" x14ac:dyDescent="0.2">
      <c r="A18" s="71" t="s">
        <v>18</v>
      </c>
      <c r="B18" s="74"/>
      <c r="C18" s="74"/>
      <c r="D18" s="74"/>
      <c r="E18" s="74"/>
      <c r="F18" s="74"/>
      <c r="G18" s="74"/>
      <c r="H18" s="74"/>
      <c r="I18" s="74"/>
      <c r="J18" s="74"/>
      <c r="K18" s="75"/>
      <c r="L18" s="31">
        <f>[1]Sheet1!$E$13+[2]Sheet1!$E$13</f>
        <v>0</v>
      </c>
      <c r="M18" s="31">
        <f>[1]Sheet1!$H$13+[2]Sheet1!$H$13</f>
        <v>0</v>
      </c>
      <c r="N18" s="31">
        <f>[1]Sheet1!$K$13+[2]Sheet1!$K$13</f>
        <v>0</v>
      </c>
    </row>
    <row r="19" spans="1:15" ht="57" x14ac:dyDescent="0.2">
      <c r="A19" s="11">
        <v>2</v>
      </c>
      <c r="B19" s="6" t="s">
        <v>74</v>
      </c>
      <c r="C19" s="34">
        <v>2353.4899999999998</v>
      </c>
      <c r="D19" s="34">
        <f>C19*0.21</f>
        <v>494.23289999999992</v>
      </c>
      <c r="E19" s="34">
        <f>C19+D19</f>
        <v>2847.7228999999998</v>
      </c>
      <c r="F19" s="34">
        <v>0</v>
      </c>
      <c r="G19" s="34">
        <f>F19*0.19</f>
        <v>0</v>
      </c>
      <c r="H19" s="34">
        <f>F19+G19</f>
        <v>0</v>
      </c>
      <c r="I19" s="34">
        <f>C19-F19</f>
        <v>2353.4899999999998</v>
      </c>
      <c r="J19" s="34">
        <f t="shared" ref="J19" si="9">D19-G19</f>
        <v>494.23289999999992</v>
      </c>
      <c r="K19" s="34">
        <f t="shared" ref="K19" si="10">E19-H19</f>
        <v>2847.7228999999998</v>
      </c>
      <c r="L19" s="31">
        <f>[1]Sheet1!$E$13+[2]Sheet1!$E$13</f>
        <v>0</v>
      </c>
      <c r="M19" s="31">
        <f>[1]Sheet1!$H$13+[2]Sheet1!$H$13</f>
        <v>0</v>
      </c>
      <c r="N19" s="31">
        <f>[1]Sheet1!$K$13+[2]Sheet1!$K$13</f>
        <v>0</v>
      </c>
      <c r="O19" s="31">
        <f>C24+C38+C39+C40+C41</f>
        <v>3780659.49</v>
      </c>
    </row>
    <row r="20" spans="1:15" ht="14.25" x14ac:dyDescent="0.2">
      <c r="A20" s="8"/>
      <c r="B20" s="8" t="s">
        <v>19</v>
      </c>
      <c r="C20" s="29">
        <f t="shared" ref="C20:K20" si="11">C19</f>
        <v>2353.4899999999998</v>
      </c>
      <c r="D20" s="29">
        <f t="shared" si="11"/>
        <v>494.23289999999992</v>
      </c>
      <c r="E20" s="29">
        <f t="shared" si="11"/>
        <v>2847.7228999999998</v>
      </c>
      <c r="F20" s="29">
        <f t="shared" si="11"/>
        <v>0</v>
      </c>
      <c r="G20" s="29">
        <f t="shared" si="11"/>
        <v>0</v>
      </c>
      <c r="H20" s="29">
        <f t="shared" si="11"/>
        <v>0</v>
      </c>
      <c r="I20" s="29">
        <f t="shared" si="11"/>
        <v>2353.4899999999998</v>
      </c>
      <c r="J20" s="29">
        <f t="shared" si="11"/>
        <v>494.23289999999992</v>
      </c>
      <c r="K20" s="29">
        <f t="shared" si="11"/>
        <v>2847.7228999999998</v>
      </c>
      <c r="L20" s="31">
        <f>[1]Sheet1!$E$20+[2]Sheet1!$E$20</f>
        <v>2800.6530999999995</v>
      </c>
      <c r="M20" s="31">
        <f>[1]Sheet1!$H$20+[2]Sheet1!$H$20</f>
        <v>0</v>
      </c>
      <c r="N20" s="31">
        <f>[1]Sheet1!$K$20+[2]Sheet1!$K$20</f>
        <v>2800.6530999999995</v>
      </c>
    </row>
    <row r="21" spans="1:15" ht="14.25" x14ac:dyDescent="0.2">
      <c r="A21" s="43"/>
      <c r="B21" s="12"/>
      <c r="C21" s="44"/>
      <c r="D21" s="44"/>
      <c r="E21" s="44"/>
      <c r="F21" s="44"/>
      <c r="G21" s="44"/>
      <c r="H21" s="44"/>
      <c r="I21" s="44"/>
      <c r="J21" s="44"/>
      <c r="K21" s="45"/>
      <c r="L21" s="31">
        <f>[1]Sheet1!$K$13+[2]Sheet1!$K$13</f>
        <v>0</v>
      </c>
      <c r="M21" s="31">
        <f>[1]Sheet1!$H$20+[2]Sheet1!$H$20</f>
        <v>0</v>
      </c>
      <c r="N21" s="31">
        <f>[1]Sheet1!$K$13+[2]Sheet1!$K$13</f>
        <v>0</v>
      </c>
    </row>
    <row r="22" spans="1:15" ht="14.25" x14ac:dyDescent="0.2">
      <c r="A22" s="71" t="s">
        <v>20</v>
      </c>
      <c r="B22" s="74"/>
      <c r="C22" s="74"/>
      <c r="D22" s="74"/>
      <c r="E22" s="74"/>
      <c r="F22" s="74"/>
      <c r="G22" s="74"/>
      <c r="H22" s="74"/>
      <c r="I22" s="74"/>
      <c r="J22" s="74"/>
      <c r="K22" s="75"/>
      <c r="L22" s="31">
        <f>[1]Sheet1!$K$13+[2]Sheet1!$K$13</f>
        <v>0</v>
      </c>
      <c r="M22" s="31">
        <f>[1]Sheet1!$H$20+[2]Sheet1!$H$20</f>
        <v>0</v>
      </c>
      <c r="N22" s="31">
        <f>[1]Sheet1!$K$13+[2]Sheet1!$K$13</f>
        <v>0</v>
      </c>
    </row>
    <row r="23" spans="1:15" ht="14.25" x14ac:dyDescent="0.2">
      <c r="A23" s="58" t="s">
        <v>21</v>
      </c>
      <c r="B23" s="58" t="s">
        <v>22</v>
      </c>
      <c r="C23" s="62">
        <f>C24+C27</f>
        <v>8486188.8300000001</v>
      </c>
      <c r="D23" s="62">
        <f>D24+D27</f>
        <v>1782099.6543000001</v>
      </c>
      <c r="E23" s="62">
        <f>C23+D23</f>
        <v>10268288.484300001</v>
      </c>
      <c r="F23" s="62">
        <f>974128.95+1913411.37</f>
        <v>2887540.3200000003</v>
      </c>
      <c r="G23" s="62">
        <f>F23*0.21</f>
        <v>606383.46720000007</v>
      </c>
      <c r="H23" s="34">
        <f>F23+G23</f>
        <v>3493923.7872000001</v>
      </c>
      <c r="I23" s="34">
        <f>C23-F23</f>
        <v>5598648.5099999998</v>
      </c>
      <c r="J23" s="34">
        <f t="shared" ref="J23" si="12">D23-G23</f>
        <v>1175716.1871</v>
      </c>
      <c r="K23" s="34">
        <f t="shared" ref="K23" si="13">E23-H23</f>
        <v>6774364.6971000005</v>
      </c>
      <c r="L23" s="31">
        <f>[1]Sheet1!$E$23+[2]Sheet1!$E$23</f>
        <v>10098564.707700001</v>
      </c>
      <c r="M23" s="31">
        <f>[1]Sheet1!$H$23+[2]Sheet1!$H$23</f>
        <v>3436172.9808000005</v>
      </c>
      <c r="N23" s="31">
        <f>[1]Sheet1!$K$13+[2]Sheet1!$K$13</f>
        <v>0</v>
      </c>
    </row>
    <row r="24" spans="1:15" ht="14.25" x14ac:dyDescent="0.2">
      <c r="A24" s="60"/>
      <c r="B24" s="60" t="s">
        <v>81</v>
      </c>
      <c r="C24" s="63">
        <f>C25+C26</f>
        <v>2887540.3200000003</v>
      </c>
      <c r="D24" s="63">
        <f>C24*0.21</f>
        <v>606383.46720000007</v>
      </c>
      <c r="E24" s="63">
        <f t="shared" ref="E24:K24" si="14">E25+E26</f>
        <v>3436172.9808</v>
      </c>
      <c r="F24" s="63">
        <f t="shared" si="14"/>
        <v>2887540.3200000003</v>
      </c>
      <c r="G24" s="63">
        <f t="shared" si="14"/>
        <v>548632.66080000007</v>
      </c>
      <c r="H24" s="56">
        <f t="shared" si="14"/>
        <v>3436172.9808</v>
      </c>
      <c r="I24" s="56">
        <f t="shared" si="14"/>
        <v>0</v>
      </c>
      <c r="J24" s="56">
        <f t="shared" si="14"/>
        <v>0</v>
      </c>
      <c r="K24" s="56">
        <f t="shared" si="14"/>
        <v>0</v>
      </c>
      <c r="L24" s="31">
        <f>[1]Sheet1!$K$23+[2]Sheet1!$K$23</f>
        <v>6662391.7269000001</v>
      </c>
      <c r="M24" s="31">
        <f>[1]Sheet1!$H$23+[2]Sheet1!$H$23</f>
        <v>3436172.9808000005</v>
      </c>
      <c r="N24" s="31">
        <f>[1]Sheet1!$K$13+[2]Sheet1!$K$13</f>
        <v>0</v>
      </c>
      <c r="O24" s="31"/>
    </row>
    <row r="25" spans="1:15" ht="30" hidden="1" customHeight="1" x14ac:dyDescent="0.2">
      <c r="A25" s="61"/>
      <c r="B25" s="57" t="s">
        <v>83</v>
      </c>
      <c r="C25" s="52">
        <v>1913411.37</v>
      </c>
      <c r="D25" s="52">
        <f>C25*0.19</f>
        <v>363548.16030000005</v>
      </c>
      <c r="E25" s="52">
        <f>C25+D25</f>
        <v>2276959.5303000002</v>
      </c>
      <c r="F25" s="52">
        <v>1913411.37</v>
      </c>
      <c r="G25" s="52">
        <f>F25*0.19</f>
        <v>363548.16030000005</v>
      </c>
      <c r="H25" s="52">
        <f>F25+G25</f>
        <v>2276959.5303000002</v>
      </c>
      <c r="I25" s="34">
        <v>0</v>
      </c>
      <c r="J25" s="34">
        <v>0</v>
      </c>
      <c r="K25" s="34">
        <v>0</v>
      </c>
      <c r="L25" s="31">
        <f>[1]Sheet1!$K$23+[2]Sheet1!$K$23</f>
        <v>6662391.7269000001</v>
      </c>
      <c r="M25" s="31">
        <f>[1]Sheet1!$H$23+[2]Sheet1!$H$23</f>
        <v>3436172.9808000005</v>
      </c>
      <c r="N25" s="31">
        <f>[1]Sheet1!$K$13+[2]Sheet1!$K$13</f>
        <v>0</v>
      </c>
    </row>
    <row r="26" spans="1:15" ht="71.25" hidden="1" x14ac:dyDescent="0.2">
      <c r="A26" s="59"/>
      <c r="B26" s="53" t="s">
        <v>82</v>
      </c>
      <c r="C26" s="55">
        <v>974128.95</v>
      </c>
      <c r="D26" s="34">
        <f t="shared" ref="D26:D37" si="15">C26*0.19</f>
        <v>185084.50049999999</v>
      </c>
      <c r="E26" s="34">
        <f t="shared" ref="E26:E37" si="16">C26+D26</f>
        <v>1159213.4505</v>
      </c>
      <c r="F26" s="55">
        <v>974128.95</v>
      </c>
      <c r="G26" s="34">
        <f t="shared" ref="G26" si="17">F26*0.19</f>
        <v>185084.50049999999</v>
      </c>
      <c r="H26" s="34">
        <f t="shared" ref="H26" si="18">F26+G26</f>
        <v>1159213.4505</v>
      </c>
      <c r="I26" s="34">
        <f t="shared" ref="I26:I37" si="19">C26-F26</f>
        <v>0</v>
      </c>
      <c r="J26" s="34">
        <f t="shared" ref="J26:J37" si="20">D26-G26</f>
        <v>0</v>
      </c>
      <c r="K26" s="34">
        <f t="shared" ref="K26:K37" si="21">E26-H26</f>
        <v>0</v>
      </c>
      <c r="L26" s="31">
        <f>[1]Sheet1!$K$23+[2]Sheet1!$K$23</f>
        <v>6662391.7269000001</v>
      </c>
      <c r="M26" s="31">
        <f>[1]Sheet1!$H$23+[2]Sheet1!$H$23</f>
        <v>3436172.9808000005</v>
      </c>
      <c r="N26" s="31">
        <f>[1]Sheet1!$K$13+[2]Sheet1!$K$13</f>
        <v>0</v>
      </c>
    </row>
    <row r="27" spans="1:15" ht="28.5" x14ac:dyDescent="0.2">
      <c r="A27" s="6"/>
      <c r="B27" s="53" t="s">
        <v>80</v>
      </c>
      <c r="C27" s="55">
        <f>SUM(C28:C37)</f>
        <v>5598648.5099999998</v>
      </c>
      <c r="D27" s="55">
        <f>C27*0.21</f>
        <v>1175716.1871</v>
      </c>
      <c r="E27" s="55">
        <f>C27+D27</f>
        <v>6774364.6970999995</v>
      </c>
      <c r="F27" s="55">
        <f t="shared" ref="E27:K27" si="22">SUM(F28:F37)</f>
        <v>0</v>
      </c>
      <c r="G27" s="55">
        <f t="shared" si="22"/>
        <v>0</v>
      </c>
      <c r="H27" s="55">
        <f t="shared" si="22"/>
        <v>0</v>
      </c>
      <c r="I27" s="55">
        <f t="shared" si="22"/>
        <v>5598648.5099999998</v>
      </c>
      <c r="J27" s="55">
        <f>D27</f>
        <v>1175716.1871</v>
      </c>
      <c r="K27" s="55">
        <f>I27+J27</f>
        <v>6774364.6970999995</v>
      </c>
      <c r="L27" s="31">
        <f>[1]Sheet1!$K$23+[2]Sheet1!$K$23</f>
        <v>6662391.7269000001</v>
      </c>
      <c r="M27" s="31">
        <f>[1]Sheet1!$H$23+[2]Sheet1!$H$23</f>
        <v>3436172.9808000005</v>
      </c>
      <c r="N27" s="31">
        <f>[1]Sheet1!$K$13+[2]Sheet1!$K$13</f>
        <v>0</v>
      </c>
    </row>
    <row r="28" spans="1:15" ht="28.5" hidden="1" x14ac:dyDescent="0.2">
      <c r="A28" s="6"/>
      <c r="B28" s="53" t="s">
        <v>62</v>
      </c>
      <c r="C28" s="35">
        <v>2303754.9600000004</v>
      </c>
      <c r="D28" s="34">
        <f t="shared" si="15"/>
        <v>437713.44240000006</v>
      </c>
      <c r="E28" s="34">
        <f t="shared" si="16"/>
        <v>2741468.4024000005</v>
      </c>
      <c r="F28" s="34">
        <v>0</v>
      </c>
      <c r="G28" s="34">
        <v>0</v>
      </c>
      <c r="H28" s="34">
        <v>0</v>
      </c>
      <c r="I28" s="34">
        <f t="shared" si="19"/>
        <v>2303754.9600000004</v>
      </c>
      <c r="J28" s="34">
        <f t="shared" si="20"/>
        <v>437713.44240000006</v>
      </c>
      <c r="K28" s="34">
        <f t="shared" si="21"/>
        <v>2741468.4024000005</v>
      </c>
      <c r="L28" s="31">
        <f>[1]Sheet1!$K$23+[2]Sheet1!$K$23</f>
        <v>6662391.7269000001</v>
      </c>
      <c r="M28" s="31">
        <f>[1]Sheet1!$H$23+[2]Sheet1!$H$23</f>
        <v>3436172.9808000005</v>
      </c>
      <c r="N28" s="31">
        <f>[1]Sheet1!$K$13+[2]Sheet1!$K$13</f>
        <v>0</v>
      </c>
    </row>
    <row r="29" spans="1:15" ht="14.25" hidden="1" x14ac:dyDescent="0.2">
      <c r="A29" s="6"/>
      <c r="B29" s="53" t="s">
        <v>63</v>
      </c>
      <c r="C29" s="35">
        <v>112213.75</v>
      </c>
      <c r="D29" s="34">
        <f t="shared" si="15"/>
        <v>21320.612499999999</v>
      </c>
      <c r="E29" s="34">
        <f t="shared" si="16"/>
        <v>133534.36249999999</v>
      </c>
      <c r="F29" s="34">
        <v>0</v>
      </c>
      <c r="G29" s="34">
        <v>0</v>
      </c>
      <c r="H29" s="34">
        <v>0</v>
      </c>
      <c r="I29" s="34">
        <f t="shared" si="19"/>
        <v>112213.75</v>
      </c>
      <c r="J29" s="34">
        <f t="shared" si="20"/>
        <v>21320.612499999999</v>
      </c>
      <c r="K29" s="34">
        <f t="shared" si="21"/>
        <v>133534.36249999999</v>
      </c>
      <c r="L29" s="31">
        <f>[1]Sheet1!$K$23+[2]Sheet1!$K$23</f>
        <v>6662391.7269000001</v>
      </c>
      <c r="M29" s="31">
        <f>[1]Sheet1!$H$23+[2]Sheet1!$H$23</f>
        <v>3436172.9808000005</v>
      </c>
      <c r="N29" s="31">
        <f>[1]Sheet1!$K$13+[2]Sheet1!$K$13</f>
        <v>0</v>
      </c>
    </row>
    <row r="30" spans="1:15" ht="14.25" hidden="1" x14ac:dyDescent="0.2">
      <c r="A30" s="6"/>
      <c r="B30" s="54" t="s">
        <v>64</v>
      </c>
      <c r="C30" s="35">
        <v>1926093.5300000003</v>
      </c>
      <c r="D30" s="34">
        <f t="shared" si="15"/>
        <v>365957.77070000005</v>
      </c>
      <c r="E30" s="34">
        <f t="shared" si="16"/>
        <v>2292051.3007000005</v>
      </c>
      <c r="F30" s="34">
        <v>0</v>
      </c>
      <c r="G30" s="34">
        <v>0</v>
      </c>
      <c r="H30" s="34">
        <v>0</v>
      </c>
      <c r="I30" s="34">
        <f t="shared" si="19"/>
        <v>1926093.5300000003</v>
      </c>
      <c r="J30" s="34">
        <f t="shared" si="20"/>
        <v>365957.77070000005</v>
      </c>
      <c r="K30" s="34">
        <f t="shared" si="21"/>
        <v>2292051.3007000005</v>
      </c>
      <c r="L30" s="31">
        <f>[1]Sheet1!$K$23+[2]Sheet1!$K$23</f>
        <v>6662391.7269000001</v>
      </c>
      <c r="M30" s="31">
        <f>[1]Sheet1!$H$23+[2]Sheet1!$H$23</f>
        <v>3436172.9808000005</v>
      </c>
      <c r="N30" s="31">
        <f>[1]Sheet1!$K$13+[2]Sheet1!$K$13</f>
        <v>0</v>
      </c>
    </row>
    <row r="31" spans="1:15" ht="14.25" hidden="1" x14ac:dyDescent="0.2">
      <c r="A31" s="6"/>
      <c r="B31" s="54" t="s">
        <v>65</v>
      </c>
      <c r="C31" s="35">
        <v>807076.23</v>
      </c>
      <c r="D31" s="34">
        <f t="shared" si="15"/>
        <v>153344.48370000001</v>
      </c>
      <c r="E31" s="34">
        <f t="shared" si="16"/>
        <v>960420.71369999996</v>
      </c>
      <c r="F31" s="34">
        <v>0</v>
      </c>
      <c r="G31" s="34">
        <v>0</v>
      </c>
      <c r="H31" s="34">
        <v>0</v>
      </c>
      <c r="I31" s="34">
        <f t="shared" si="19"/>
        <v>807076.23</v>
      </c>
      <c r="J31" s="34">
        <f t="shared" si="20"/>
        <v>153344.48370000001</v>
      </c>
      <c r="K31" s="34">
        <f t="shared" si="21"/>
        <v>960420.71369999996</v>
      </c>
      <c r="L31" s="31">
        <f>[1]Sheet1!$K$23+[2]Sheet1!$K$23</f>
        <v>6662391.7269000001</v>
      </c>
      <c r="M31" s="31">
        <f>[1]Sheet1!$H$23+[2]Sheet1!$H$23</f>
        <v>3436172.9808000005</v>
      </c>
      <c r="N31" s="31">
        <f>[1]Sheet1!$K$13+[2]Sheet1!$K$13</f>
        <v>0</v>
      </c>
    </row>
    <row r="32" spans="1:15" ht="42.75" hidden="1" x14ac:dyDescent="0.2">
      <c r="A32" s="6"/>
      <c r="B32" s="53" t="s">
        <v>66</v>
      </c>
      <c r="C32" s="35">
        <v>177905.59</v>
      </c>
      <c r="D32" s="34">
        <f t="shared" si="15"/>
        <v>33802.062100000003</v>
      </c>
      <c r="E32" s="34">
        <f t="shared" si="16"/>
        <v>211707.65210000001</v>
      </c>
      <c r="F32" s="34">
        <v>0</v>
      </c>
      <c r="G32" s="34">
        <v>0</v>
      </c>
      <c r="H32" s="34">
        <v>0</v>
      </c>
      <c r="I32" s="34">
        <f t="shared" si="19"/>
        <v>177905.59</v>
      </c>
      <c r="J32" s="34">
        <f t="shared" si="20"/>
        <v>33802.062100000003</v>
      </c>
      <c r="K32" s="34">
        <f t="shared" si="21"/>
        <v>211707.65210000001</v>
      </c>
      <c r="L32" s="31">
        <f>[1]Sheet1!$K$23+[2]Sheet1!$K$23</f>
        <v>6662391.7269000001</v>
      </c>
      <c r="M32" s="31">
        <f>[1]Sheet1!$H$23+[2]Sheet1!$H$23</f>
        <v>3436172.9808000005</v>
      </c>
      <c r="N32" s="31">
        <f>[1]Sheet1!$K$13+[2]Sheet1!$K$13</f>
        <v>0</v>
      </c>
    </row>
    <row r="33" spans="1:15" ht="42.75" hidden="1" x14ac:dyDescent="0.2">
      <c r="A33" s="6"/>
      <c r="B33" s="53" t="s">
        <v>67</v>
      </c>
      <c r="C33" s="35">
        <v>143606.35</v>
      </c>
      <c r="D33" s="34">
        <f t="shared" si="15"/>
        <v>27285.2065</v>
      </c>
      <c r="E33" s="34">
        <f t="shared" si="16"/>
        <v>170891.55650000001</v>
      </c>
      <c r="F33" s="34">
        <v>0</v>
      </c>
      <c r="G33" s="34">
        <v>0</v>
      </c>
      <c r="H33" s="34">
        <v>0</v>
      </c>
      <c r="I33" s="34">
        <f t="shared" si="19"/>
        <v>143606.35</v>
      </c>
      <c r="J33" s="34">
        <f t="shared" si="20"/>
        <v>27285.2065</v>
      </c>
      <c r="K33" s="34">
        <f t="shared" si="21"/>
        <v>170891.55650000001</v>
      </c>
      <c r="L33" s="31">
        <f>[1]Sheet1!$K$23+[2]Sheet1!$K$23</f>
        <v>6662391.7269000001</v>
      </c>
      <c r="M33" s="31">
        <f>[1]Sheet1!$H$23+[2]Sheet1!$H$23</f>
        <v>3436172.9808000005</v>
      </c>
      <c r="N33" s="31">
        <f>[1]Sheet1!$K$13+[2]Sheet1!$K$13</f>
        <v>0</v>
      </c>
    </row>
    <row r="34" spans="1:15" ht="28.5" hidden="1" x14ac:dyDescent="0.2">
      <c r="A34" s="6"/>
      <c r="B34" s="53" t="s">
        <v>68</v>
      </c>
      <c r="C34" s="35">
        <v>6197.8</v>
      </c>
      <c r="D34" s="34">
        <f t="shared" si="15"/>
        <v>1177.5820000000001</v>
      </c>
      <c r="E34" s="34">
        <f t="shared" si="16"/>
        <v>7375.3820000000005</v>
      </c>
      <c r="F34" s="34">
        <v>0</v>
      </c>
      <c r="G34" s="34">
        <v>0</v>
      </c>
      <c r="H34" s="34">
        <v>0</v>
      </c>
      <c r="I34" s="34">
        <f t="shared" si="19"/>
        <v>6197.8</v>
      </c>
      <c r="J34" s="34">
        <f t="shared" si="20"/>
        <v>1177.5820000000001</v>
      </c>
      <c r="K34" s="34">
        <f t="shared" si="21"/>
        <v>7375.3820000000005</v>
      </c>
      <c r="L34" s="31">
        <f>[1]Sheet1!$K$23+[2]Sheet1!$K$23</f>
        <v>6662391.7269000001</v>
      </c>
      <c r="M34" s="31">
        <f>[1]Sheet1!$H$23+[2]Sheet1!$H$23</f>
        <v>3436172.9808000005</v>
      </c>
      <c r="N34" s="31">
        <f>[1]Sheet1!$K$13+[2]Sheet1!$K$13</f>
        <v>0</v>
      </c>
    </row>
    <row r="35" spans="1:15" ht="28.5" hidden="1" x14ac:dyDescent="0.2">
      <c r="A35" s="6"/>
      <c r="B35" s="53" t="s">
        <v>69</v>
      </c>
      <c r="C35" s="35">
        <v>1456.67</v>
      </c>
      <c r="D35" s="34">
        <f t="shared" si="15"/>
        <v>276.76730000000003</v>
      </c>
      <c r="E35" s="34">
        <f t="shared" si="16"/>
        <v>1733.4373000000001</v>
      </c>
      <c r="F35" s="34">
        <v>0</v>
      </c>
      <c r="G35" s="34">
        <v>0</v>
      </c>
      <c r="H35" s="34">
        <v>0</v>
      </c>
      <c r="I35" s="34">
        <f t="shared" si="19"/>
        <v>1456.67</v>
      </c>
      <c r="J35" s="34">
        <f t="shared" si="20"/>
        <v>276.76730000000003</v>
      </c>
      <c r="K35" s="34">
        <f t="shared" si="21"/>
        <v>1733.4373000000001</v>
      </c>
      <c r="L35" s="31">
        <f>[1]Sheet1!$K$23+[2]Sheet1!$K$23</f>
        <v>6662391.7269000001</v>
      </c>
      <c r="M35" s="31">
        <f>[1]Sheet1!$H$23+[2]Sheet1!$H$23</f>
        <v>3436172.9808000005</v>
      </c>
      <c r="N35" s="31">
        <f>[1]Sheet1!$K$13+[2]Sheet1!$K$13</f>
        <v>0</v>
      </c>
    </row>
    <row r="36" spans="1:15" ht="14.25" hidden="1" x14ac:dyDescent="0.2">
      <c r="A36" s="6"/>
      <c r="B36" s="53" t="s">
        <v>70</v>
      </c>
      <c r="C36" s="35">
        <v>5374.53</v>
      </c>
      <c r="D36" s="34">
        <f t="shared" si="15"/>
        <v>1021.1607</v>
      </c>
      <c r="E36" s="34">
        <f t="shared" si="16"/>
        <v>6395.6907000000001</v>
      </c>
      <c r="F36" s="34">
        <v>0</v>
      </c>
      <c r="G36" s="34">
        <v>0</v>
      </c>
      <c r="H36" s="34">
        <v>0</v>
      </c>
      <c r="I36" s="34">
        <f t="shared" si="19"/>
        <v>5374.53</v>
      </c>
      <c r="J36" s="34">
        <f t="shared" si="20"/>
        <v>1021.1607</v>
      </c>
      <c r="K36" s="34">
        <f t="shared" si="21"/>
        <v>6395.6907000000001</v>
      </c>
      <c r="L36" s="31">
        <f>[1]Sheet1!$K$23+[2]Sheet1!$K$23</f>
        <v>6662391.7269000001</v>
      </c>
      <c r="M36" s="31">
        <f>[1]Sheet1!$H$23+[2]Sheet1!$H$23</f>
        <v>3436172.9808000005</v>
      </c>
      <c r="N36" s="31">
        <f>[1]Sheet1!$K$13+[2]Sheet1!$K$13</f>
        <v>0</v>
      </c>
    </row>
    <row r="37" spans="1:15" ht="14.25" hidden="1" x14ac:dyDescent="0.2">
      <c r="A37" s="6"/>
      <c r="B37" s="53" t="s">
        <v>71</v>
      </c>
      <c r="C37" s="35">
        <v>114969.1</v>
      </c>
      <c r="D37" s="34">
        <f t="shared" si="15"/>
        <v>21844.129000000001</v>
      </c>
      <c r="E37" s="34">
        <f t="shared" si="16"/>
        <v>136813.22899999999</v>
      </c>
      <c r="F37" s="34">
        <v>0</v>
      </c>
      <c r="G37" s="34">
        <v>0</v>
      </c>
      <c r="H37" s="34">
        <v>0</v>
      </c>
      <c r="I37" s="34">
        <f t="shared" si="19"/>
        <v>114969.1</v>
      </c>
      <c r="J37" s="34">
        <f t="shared" si="20"/>
        <v>21844.129000000001</v>
      </c>
      <c r="K37" s="34">
        <f t="shared" si="21"/>
        <v>136813.22899999999</v>
      </c>
      <c r="L37" s="31">
        <f>[1]Sheet1!$K$23+[2]Sheet1!$K$23</f>
        <v>6662391.7269000001</v>
      </c>
      <c r="M37" s="31">
        <f>[1]Sheet1!$H$23+[2]Sheet1!$H$23</f>
        <v>3436172.9808000005</v>
      </c>
      <c r="N37" s="31">
        <f>[1]Sheet1!$K$13+[2]Sheet1!$K$13</f>
        <v>0</v>
      </c>
    </row>
    <row r="38" spans="1:15" ht="42.75" x14ac:dyDescent="0.2">
      <c r="A38" s="6" t="s">
        <v>23</v>
      </c>
      <c r="B38" s="6" t="s">
        <v>24</v>
      </c>
      <c r="C38" s="34">
        <v>90886.44</v>
      </c>
      <c r="D38" s="34">
        <f>C38*0.21</f>
        <v>19086.152399999999</v>
      </c>
      <c r="E38" s="34">
        <f>C38+D38</f>
        <v>109972.59239999999</v>
      </c>
      <c r="F38" s="34">
        <v>0</v>
      </c>
      <c r="G38" s="34">
        <f>F38*0.19</f>
        <v>0</v>
      </c>
      <c r="H38" s="34">
        <f>F38+G38</f>
        <v>0</v>
      </c>
      <c r="I38" s="34">
        <f>C38-F38</f>
        <v>90886.44</v>
      </c>
      <c r="J38" s="34">
        <f t="shared" ref="J38" si="23">D38-G38</f>
        <v>19086.152399999999</v>
      </c>
      <c r="K38" s="34">
        <f t="shared" ref="K38" si="24">E38-H38</f>
        <v>109972.59239999999</v>
      </c>
      <c r="L38" s="31">
        <f>[1]Sheet1!$K$23+[2]Sheet1!$K$23</f>
        <v>6662391.7269000001</v>
      </c>
      <c r="M38" s="31">
        <f>[1]Sheet1!$H$23+[2]Sheet1!$H$23</f>
        <v>3436172.9808000005</v>
      </c>
      <c r="N38" s="31">
        <f>[1]Sheet1!$K$13+[2]Sheet1!$K$13</f>
        <v>0</v>
      </c>
    </row>
    <row r="39" spans="1:15" ht="57" x14ac:dyDescent="0.2">
      <c r="A39" s="6" t="s">
        <v>25</v>
      </c>
      <c r="B39" s="6" t="s">
        <v>75</v>
      </c>
      <c r="C39" s="34">
        <v>563501.22</v>
      </c>
      <c r="D39" s="34">
        <f>C39*0.21</f>
        <v>118335.25619999999</v>
      </c>
      <c r="E39" s="34">
        <f>C39+D39</f>
        <v>681836.47619999992</v>
      </c>
      <c r="F39" s="34">
        <v>287150</v>
      </c>
      <c r="G39" s="34">
        <f>F39*0.21</f>
        <v>60301.5</v>
      </c>
      <c r="H39" s="34">
        <f>F39+G39</f>
        <v>347451.5</v>
      </c>
      <c r="I39" s="34">
        <f>C39-F39</f>
        <v>276351.21999999997</v>
      </c>
      <c r="J39" s="34">
        <f t="shared" ref="J39" si="25">D39-G39</f>
        <v>58033.756199999989</v>
      </c>
      <c r="K39" s="34">
        <f t="shared" ref="K39" si="26">E39-H39</f>
        <v>334384.97619999992</v>
      </c>
      <c r="L39" s="31">
        <f>[1]Sheet1!$E$39+[2]Sheet1!$E$39</f>
        <v>670566.45179999992</v>
      </c>
      <c r="M39" s="31">
        <f>[1]Sheet1!$H$39+[2]Sheet1!$H$39</f>
        <v>341708.5</v>
      </c>
      <c r="N39" s="31">
        <f>[1]Sheet1!$K$13+[2]Sheet1!$K$13</f>
        <v>0</v>
      </c>
      <c r="O39" s="31"/>
    </row>
    <row r="40" spans="1:15" ht="71.25" x14ac:dyDescent="0.2">
      <c r="A40" s="6" t="s">
        <v>26</v>
      </c>
      <c r="B40" s="6" t="s">
        <v>76</v>
      </c>
      <c r="C40" s="34"/>
      <c r="D40" s="34"/>
      <c r="E40" s="34"/>
      <c r="F40" s="34"/>
      <c r="G40" s="34"/>
      <c r="H40" s="34"/>
      <c r="I40" s="34"/>
      <c r="J40" s="34"/>
      <c r="K40" s="34"/>
      <c r="L40" s="31"/>
      <c r="M40" s="31"/>
      <c r="N40" s="31">
        <f>[1]Sheet1!$K$13+[2]Sheet1!$K$13</f>
        <v>0</v>
      </c>
      <c r="O40" s="31">
        <f>F16+F23+F39+F41+F47</f>
        <v>3492071.4800000004</v>
      </c>
    </row>
    <row r="41" spans="1:15" ht="14.25" x14ac:dyDescent="0.2">
      <c r="A41" s="6" t="s">
        <v>27</v>
      </c>
      <c r="B41" s="6" t="s">
        <v>28</v>
      </c>
      <c r="C41" s="34">
        <v>238731.51</v>
      </c>
      <c r="D41" s="34">
        <f>C41*0.21</f>
        <v>50133.617100000003</v>
      </c>
      <c r="E41" s="34">
        <f>C41+D41</f>
        <v>288865.12710000004</v>
      </c>
      <c r="F41" s="34">
        <v>235085.66</v>
      </c>
      <c r="G41" s="34">
        <f>F41*0.21</f>
        <v>49367.988599999997</v>
      </c>
      <c r="H41" s="34">
        <f>F41+G41</f>
        <v>284453.64860000001</v>
      </c>
      <c r="I41" s="34">
        <f>C41-F41</f>
        <v>3645.8500000000058</v>
      </c>
      <c r="J41" s="34">
        <f t="shared" ref="J41" si="27">D41-G41</f>
        <v>765.62850000000617</v>
      </c>
      <c r="K41" s="34">
        <f t="shared" ref="K41" si="28">E41-H41</f>
        <v>4411.4785000000265</v>
      </c>
      <c r="L41" s="31">
        <f>[1]Sheet1!$E$41+[2]Sheet1!$E$41</f>
        <v>284090.49690000003</v>
      </c>
      <c r="M41" s="31">
        <f>[1]Sheet1!$H$41+[2]Sheet1!$H$41</f>
        <v>279751.93540000002</v>
      </c>
      <c r="N41" s="31">
        <f>[1]Sheet1!$K$13+[2]Sheet1!$K$13</f>
        <v>0</v>
      </c>
    </row>
    <row r="42" spans="1:15" ht="14.25" x14ac:dyDescent="0.2">
      <c r="A42" s="6" t="s">
        <v>29</v>
      </c>
      <c r="B42" s="6" t="s">
        <v>30</v>
      </c>
      <c r="C42" s="34"/>
      <c r="D42" s="34"/>
      <c r="E42" s="34"/>
      <c r="F42" s="34"/>
      <c r="G42" s="34"/>
      <c r="H42" s="34"/>
      <c r="I42" s="34"/>
      <c r="J42" s="34"/>
      <c r="K42" s="34"/>
      <c r="L42" s="31"/>
      <c r="M42" s="31"/>
      <c r="N42" s="31">
        <f>[1]Sheet1!$K$13+[2]Sheet1!$K$13</f>
        <v>0</v>
      </c>
    </row>
    <row r="43" spans="1:15" ht="14.25" x14ac:dyDescent="0.2">
      <c r="A43" s="8"/>
      <c r="B43" s="8" t="s">
        <v>31</v>
      </c>
      <c r="C43" s="29">
        <f>C23+C38+C39+C41</f>
        <v>9379308</v>
      </c>
      <c r="D43" s="29">
        <f t="shared" ref="D43:K43" si="29">D23+D38+D39+D41</f>
        <v>1969654.68</v>
      </c>
      <c r="E43" s="29">
        <f t="shared" si="29"/>
        <v>11348962.68</v>
      </c>
      <c r="F43" s="29">
        <f t="shared" si="29"/>
        <v>3409775.9800000004</v>
      </c>
      <c r="G43" s="29">
        <f t="shared" si="29"/>
        <v>716052.95580000011</v>
      </c>
      <c r="H43" s="29">
        <f t="shared" si="29"/>
        <v>4125828.9358000001</v>
      </c>
      <c r="I43" s="29">
        <f t="shared" si="29"/>
        <v>5969532.0199999996</v>
      </c>
      <c r="J43" s="29">
        <f t="shared" si="29"/>
        <v>1253601.7242000001</v>
      </c>
      <c r="K43" s="29">
        <f t="shared" si="29"/>
        <v>7223133.7442000015</v>
      </c>
      <c r="L43" s="31">
        <f>[1]Sheet1!$E$43+[2]Sheet1!$E$43</f>
        <v>11161376.52</v>
      </c>
      <c r="M43" s="31">
        <f>[1]Sheet1!$H$43+[2]Sheet1!$H$43</f>
        <v>4057633.4162000008</v>
      </c>
      <c r="N43" s="31">
        <f>[1]Sheet1!$K$43+[2]Sheet1!$K$43</f>
        <v>7103743.1037999997</v>
      </c>
    </row>
    <row r="44" spans="1:15" ht="14.25" x14ac:dyDescent="0.2">
      <c r="A44" s="43"/>
      <c r="B44" s="12"/>
      <c r="C44" s="44"/>
      <c r="D44" s="44"/>
      <c r="E44" s="44"/>
      <c r="F44" s="44"/>
      <c r="G44" s="44"/>
      <c r="H44" s="44"/>
      <c r="I44" s="44"/>
      <c r="J44" s="44"/>
      <c r="K44" s="45"/>
      <c r="L44" s="31"/>
      <c r="M44" s="31"/>
      <c r="N44" s="31">
        <f>[1]Sheet1!$K$13+[2]Sheet1!$K$13</f>
        <v>0</v>
      </c>
    </row>
    <row r="45" spans="1:15" ht="14.25" x14ac:dyDescent="0.2">
      <c r="A45" s="71" t="s">
        <v>32</v>
      </c>
      <c r="B45" s="74"/>
      <c r="C45" s="74"/>
      <c r="D45" s="74"/>
      <c r="E45" s="74"/>
      <c r="F45" s="74"/>
      <c r="G45" s="74"/>
      <c r="H45" s="74"/>
      <c r="I45" s="74"/>
      <c r="J45" s="74"/>
      <c r="K45" s="75"/>
      <c r="L45" s="31"/>
      <c r="M45" s="31"/>
      <c r="N45" s="31">
        <f>[1]Sheet1!$K$13+[2]Sheet1!$K$13</f>
        <v>0</v>
      </c>
    </row>
    <row r="46" spans="1:15" ht="14.25" x14ac:dyDescent="0.2">
      <c r="A46" s="6" t="s">
        <v>33</v>
      </c>
      <c r="B46" s="6" t="s">
        <v>34</v>
      </c>
      <c r="C46" s="34">
        <f>C47+C48</f>
        <v>82295.5</v>
      </c>
      <c r="D46" s="34">
        <f t="shared" ref="D46:K46" si="30">D47+D48</f>
        <v>17282.055</v>
      </c>
      <c r="E46" s="34">
        <f t="shared" si="30"/>
        <v>99577.554999999993</v>
      </c>
      <c r="F46" s="34">
        <f t="shared" si="30"/>
        <v>82295.5</v>
      </c>
      <c r="G46" s="34">
        <f t="shared" si="30"/>
        <v>17282.055</v>
      </c>
      <c r="H46" s="34">
        <f t="shared" si="30"/>
        <v>99577.554999999993</v>
      </c>
      <c r="I46" s="34">
        <f t="shared" si="30"/>
        <v>0</v>
      </c>
      <c r="J46" s="34">
        <f t="shared" si="30"/>
        <v>0</v>
      </c>
      <c r="K46" s="34">
        <f t="shared" si="30"/>
        <v>0</v>
      </c>
      <c r="L46" s="31">
        <f>[1]Sheet1!$E$46+[2]Sheet1!$E$46</f>
        <v>97931.645000000004</v>
      </c>
      <c r="M46" s="31">
        <f>[1]Sheet1!$H$46+[2]Sheet1!$H$46</f>
        <v>97931.645000000004</v>
      </c>
      <c r="N46" s="31">
        <f>[1]Sheet1!$K$13+[2]Sheet1!$K$13</f>
        <v>0</v>
      </c>
      <c r="O46" s="32" t="s">
        <v>58</v>
      </c>
    </row>
    <row r="47" spans="1:15" ht="57" x14ac:dyDescent="0.2">
      <c r="A47" s="6" t="s">
        <v>35</v>
      </c>
      <c r="B47" s="6" t="s">
        <v>77</v>
      </c>
      <c r="C47" s="34">
        <v>82295.5</v>
      </c>
      <c r="D47" s="34">
        <f>C47*0.21</f>
        <v>17282.055</v>
      </c>
      <c r="E47" s="34">
        <f>C47+D47</f>
        <v>99577.554999999993</v>
      </c>
      <c r="F47" s="34">
        <v>82295.5</v>
      </c>
      <c r="G47" s="34">
        <f>F47*0.21</f>
        <v>17282.055</v>
      </c>
      <c r="H47" s="34">
        <f>F47+G47</f>
        <v>99577.554999999993</v>
      </c>
      <c r="I47" s="34">
        <f>C47-F47</f>
        <v>0</v>
      </c>
      <c r="J47" s="34">
        <f t="shared" ref="J47" si="31">D47-G47</f>
        <v>0</v>
      </c>
      <c r="K47" s="34">
        <f t="shared" ref="K47" si="32">E47-H47</f>
        <v>0</v>
      </c>
      <c r="L47" s="31">
        <f>[1]Sheet1!$K$13+[2]Sheet1!$K$13</f>
        <v>0</v>
      </c>
      <c r="M47" s="31">
        <f>[1]Sheet1!$H$47+[2]Sheet1!$H$47</f>
        <v>97931.645000000004</v>
      </c>
      <c r="N47" s="31">
        <f>[1]Sheet1!$K$13+[2]Sheet1!$K$13</f>
        <v>0</v>
      </c>
      <c r="O47" s="2">
        <f>0.15*O40</f>
        <v>523810.72200000007</v>
      </c>
    </row>
    <row r="48" spans="1:15" ht="28.5" x14ac:dyDescent="0.2">
      <c r="A48" s="6" t="s">
        <v>36</v>
      </c>
      <c r="B48" s="6" t="s">
        <v>37</v>
      </c>
      <c r="C48" s="34"/>
      <c r="D48" s="34"/>
      <c r="E48" s="34"/>
      <c r="F48" s="34"/>
      <c r="G48" s="34"/>
      <c r="H48" s="34"/>
      <c r="I48" s="34"/>
      <c r="J48" s="34"/>
      <c r="K48" s="34"/>
      <c r="L48" s="31">
        <f>[1]Sheet1!$K$13+[2]Sheet1!$K$13</f>
        <v>0</v>
      </c>
      <c r="M48" s="31"/>
      <c r="N48" s="31">
        <f>[1]Sheet1!$K$13+[2]Sheet1!$K$13</f>
        <v>0</v>
      </c>
      <c r="O48" s="32" t="s">
        <v>59</v>
      </c>
    </row>
    <row r="49" spans="1:15" ht="28.5" x14ac:dyDescent="0.2">
      <c r="A49" s="6" t="s">
        <v>38</v>
      </c>
      <c r="B49" s="6" t="s">
        <v>39</v>
      </c>
      <c r="C49" s="34">
        <v>986439.84</v>
      </c>
      <c r="D49" s="34">
        <f>C49*0.21</f>
        <v>207152.3664</v>
      </c>
      <c r="E49" s="34">
        <f>C49+D49</f>
        <v>1193592.2064</v>
      </c>
      <c r="F49" s="34">
        <v>340977</v>
      </c>
      <c r="G49" s="34">
        <f>F49*0.21</f>
        <v>71605.17</v>
      </c>
      <c r="H49" s="34">
        <f>F49+G49</f>
        <v>412582.17</v>
      </c>
      <c r="I49" s="34">
        <f>C49-F49</f>
        <v>645462.84</v>
      </c>
      <c r="J49" s="34">
        <f t="shared" ref="J49" si="33">D49-G49</f>
        <v>135547.19640000002</v>
      </c>
      <c r="K49" s="34">
        <f t="shared" ref="K49" si="34">E49-H49</f>
        <v>781010.0364000001</v>
      </c>
      <c r="L49" s="31">
        <f>[1]Sheet1!$E$49+[2]Sheet1!$E$49</f>
        <v>1173863.4095999999</v>
      </c>
      <c r="M49" s="31">
        <f>[1]Sheet1!$H$49+[2]Sheet1!$H$49</f>
        <v>405762.63</v>
      </c>
      <c r="N49" s="31">
        <f>[1]Sheet1!$K$13+[2]Sheet1!$K$13</f>
        <v>0</v>
      </c>
      <c r="O49" s="31">
        <f>F39+F41</f>
        <v>522235.66000000003</v>
      </c>
    </row>
    <row r="50" spans="1:15" ht="14.25" x14ac:dyDescent="0.2">
      <c r="A50" s="8"/>
      <c r="B50" s="8" t="s">
        <v>40</v>
      </c>
      <c r="C50" s="29">
        <f>SUM(C47:C49)</f>
        <v>1068735.3399999999</v>
      </c>
      <c r="D50" s="29">
        <f t="shared" ref="D50:K50" si="35">SUM(D47:D49)</f>
        <v>224434.42139999999</v>
      </c>
      <c r="E50" s="29">
        <f t="shared" si="35"/>
        <v>1293169.7614</v>
      </c>
      <c r="F50" s="29">
        <f t="shared" si="35"/>
        <v>423272.5</v>
      </c>
      <c r="G50" s="29">
        <f t="shared" si="35"/>
        <v>88887.225000000006</v>
      </c>
      <c r="H50" s="29">
        <f t="shared" si="35"/>
        <v>512159.72499999998</v>
      </c>
      <c r="I50" s="29">
        <f t="shared" si="35"/>
        <v>645462.84</v>
      </c>
      <c r="J50" s="29">
        <f t="shared" si="35"/>
        <v>135547.19640000002</v>
      </c>
      <c r="K50" s="29">
        <f t="shared" si="35"/>
        <v>781010.0364000001</v>
      </c>
      <c r="L50" s="31">
        <f>[1]Sheet1!$E$50+[2]Sheet1!$E$50</f>
        <v>1271795.0545999999</v>
      </c>
      <c r="M50" s="31">
        <f>[1]Sheet1!$H$50+[2]Sheet1!$H$50</f>
        <v>503694.27500000002</v>
      </c>
      <c r="N50" s="31">
        <f>[1]Sheet1!$K$50+[2]Sheet1!$K$50</f>
        <v>768100.77959999989</v>
      </c>
    </row>
    <row r="51" spans="1:15" s="17" customFormat="1" ht="14.25" x14ac:dyDescent="0.2">
      <c r="A51" s="46"/>
      <c r="B51" s="14"/>
      <c r="C51" s="14"/>
      <c r="D51" s="14"/>
      <c r="E51" s="14"/>
      <c r="F51" s="14"/>
      <c r="G51" s="14"/>
      <c r="H51" s="14"/>
      <c r="I51" s="14"/>
      <c r="J51" s="14"/>
      <c r="K51" s="47"/>
      <c r="L51" s="31"/>
      <c r="M51" s="31"/>
      <c r="N51" s="31">
        <f>[1]Sheet1!$K$13+[2]Sheet1!$K$13</f>
        <v>0</v>
      </c>
    </row>
    <row r="52" spans="1:15" ht="14.25" x14ac:dyDescent="0.2">
      <c r="A52" s="76" t="s">
        <v>41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31"/>
      <c r="M52" s="31"/>
      <c r="N52" s="31">
        <f>[1]Sheet1!$K$13+[2]Sheet1!$K$13</f>
        <v>0</v>
      </c>
      <c r="O52" s="31">
        <f>F39+F41</f>
        <v>522235.66000000003</v>
      </c>
    </row>
    <row r="53" spans="1:15" ht="28.5" x14ac:dyDescent="0.2">
      <c r="A53" s="6" t="s">
        <v>42</v>
      </c>
      <c r="B53" s="6" t="s">
        <v>43</v>
      </c>
      <c r="C53" s="34"/>
      <c r="D53" s="34"/>
      <c r="E53" s="34"/>
      <c r="F53" s="48"/>
      <c r="G53" s="48"/>
      <c r="H53" s="48"/>
      <c r="I53" s="49"/>
      <c r="J53" s="49"/>
      <c r="K53" s="49"/>
      <c r="L53" s="31"/>
      <c r="M53" s="31"/>
      <c r="N53" s="31">
        <f>[1]Sheet1!$K$13+[2]Sheet1!$K$13</f>
        <v>0</v>
      </c>
    </row>
    <row r="54" spans="1:15" ht="14.25" x14ac:dyDescent="0.2">
      <c r="A54" s="6" t="s">
        <v>44</v>
      </c>
      <c r="B54" s="6" t="s">
        <v>45</v>
      </c>
      <c r="C54" s="34"/>
      <c r="D54" s="34"/>
      <c r="E54" s="34"/>
      <c r="F54" s="48"/>
      <c r="G54" s="48"/>
      <c r="H54" s="48"/>
      <c r="I54" s="49"/>
      <c r="J54" s="49"/>
      <c r="K54" s="49"/>
      <c r="L54" s="31"/>
      <c r="M54" s="31"/>
      <c r="N54" s="31">
        <f>[1]Sheet1!$K$13+[2]Sheet1!$K$13</f>
        <v>0</v>
      </c>
    </row>
    <row r="55" spans="1:15" ht="14.25" x14ac:dyDescent="0.2">
      <c r="A55" s="20"/>
      <c r="B55" s="20" t="s">
        <v>46</v>
      </c>
      <c r="C55" s="50">
        <f>SUM(C53:C54)</f>
        <v>0</v>
      </c>
      <c r="D55" s="50">
        <f>SUM(D53:D54)</f>
        <v>0</v>
      </c>
      <c r="E55" s="50">
        <f>SUM(E53:E54)</f>
        <v>0</v>
      </c>
      <c r="F55" s="51"/>
      <c r="G55" s="51"/>
      <c r="H55" s="51"/>
      <c r="I55" s="50">
        <f>SUM(I53:I54)</f>
        <v>0</v>
      </c>
      <c r="J55" s="50">
        <f>SUM(J53:J54)</f>
        <v>0</v>
      </c>
      <c r="K55" s="50">
        <f>SUM(K53:K54)</f>
        <v>0</v>
      </c>
      <c r="L55" s="31"/>
      <c r="M55" s="31"/>
      <c r="N55" s="31">
        <f>[1]Sheet1!$K$13+[2]Sheet1!$K$13</f>
        <v>0</v>
      </c>
    </row>
    <row r="56" spans="1:15" ht="14.25" x14ac:dyDescent="0.2">
      <c r="A56" s="46"/>
      <c r="B56" s="14"/>
      <c r="C56" s="14"/>
      <c r="D56" s="14"/>
      <c r="E56" s="14"/>
      <c r="F56" s="14"/>
      <c r="G56" s="14"/>
      <c r="H56" s="14"/>
      <c r="I56" s="14"/>
      <c r="J56" s="14"/>
      <c r="K56" s="47"/>
      <c r="L56" s="31"/>
      <c r="M56" s="31"/>
      <c r="N56" s="31">
        <f>[1]Sheet1!$K$13+[2]Sheet1!$K$13</f>
        <v>0</v>
      </c>
    </row>
    <row r="57" spans="1:15" ht="14.25" x14ac:dyDescent="0.2">
      <c r="A57" s="76" t="s">
        <v>47</v>
      </c>
      <c r="B57" s="77"/>
      <c r="C57" s="77"/>
      <c r="D57" s="77"/>
      <c r="E57" s="77"/>
      <c r="F57" s="77"/>
      <c r="G57" s="77"/>
      <c r="H57" s="77"/>
      <c r="I57" s="77"/>
      <c r="J57" s="77"/>
      <c r="K57" s="78"/>
      <c r="L57" s="31"/>
      <c r="M57" s="31"/>
      <c r="N57" s="31">
        <f>[1]Sheet1!$K$13+[2]Sheet1!$K$13</f>
        <v>0</v>
      </c>
      <c r="O57" s="2" t="s">
        <v>61</v>
      </c>
    </row>
    <row r="58" spans="1:15" ht="87" customHeight="1" x14ac:dyDescent="0.2">
      <c r="A58" s="6" t="s">
        <v>48</v>
      </c>
      <c r="B58" s="6" t="s">
        <v>78</v>
      </c>
      <c r="C58" s="34">
        <v>994830.85</v>
      </c>
      <c r="D58" s="34">
        <f>C58*0.21</f>
        <v>208914.4785</v>
      </c>
      <c r="E58" s="34">
        <f>C58+D58</f>
        <v>1203745.3285000001</v>
      </c>
      <c r="F58" s="34">
        <v>0</v>
      </c>
      <c r="G58" s="34">
        <f>F58*0.19</f>
        <v>0</v>
      </c>
      <c r="H58" s="34">
        <f>F58+G58</f>
        <v>0</v>
      </c>
      <c r="I58" s="34">
        <f>C58-F58</f>
        <v>994830.85</v>
      </c>
      <c r="J58" s="34">
        <f>I58*0.21</f>
        <v>208914.4785</v>
      </c>
      <c r="K58" s="34">
        <f t="shared" ref="K58" si="36">E58-H58</f>
        <v>1203745.3285000001</v>
      </c>
      <c r="L58" s="31">
        <f>[1]Sheet1!$E$58+[2]Sheet1!$E$58</f>
        <v>1183848.7115</v>
      </c>
      <c r="M58" s="31">
        <f>[1]Sheet1!$H$58+[2]Sheet1!$H$58</f>
        <v>0</v>
      </c>
      <c r="N58" s="31">
        <f>[1]Sheet1!$K$13+[2]Sheet1!$K$13</f>
        <v>0</v>
      </c>
      <c r="O58" s="31">
        <f>(F16+F20+F43)*0.1</f>
        <v>340977.59800000006</v>
      </c>
    </row>
    <row r="59" spans="1:15" ht="71.25" x14ac:dyDescent="0.2">
      <c r="A59" s="6" t="s">
        <v>49</v>
      </c>
      <c r="B59" s="6" t="s">
        <v>79</v>
      </c>
      <c r="C59" s="34">
        <v>994609.52</v>
      </c>
      <c r="D59" s="34">
        <f>C59*0.21</f>
        <v>208867.99919999999</v>
      </c>
      <c r="E59" s="34">
        <f>C59+D59</f>
        <v>1203477.5192</v>
      </c>
      <c r="F59" s="34">
        <v>319981.99</v>
      </c>
      <c r="G59" s="34">
        <f>F59*0.21</f>
        <v>67196.217899999989</v>
      </c>
      <c r="H59" s="34">
        <f>F59+G59</f>
        <v>387178.20789999998</v>
      </c>
      <c r="I59" s="34">
        <f>C59-F59</f>
        <v>674627.53</v>
      </c>
      <c r="J59" s="34">
        <f>I59*0.21</f>
        <v>141671.7813</v>
      </c>
      <c r="K59" s="34">
        <f t="shared" ref="K59" si="37">E59-H59</f>
        <v>816299.31129999994</v>
      </c>
      <c r="L59" s="31">
        <f>[1]Sheet1!$E$49+[2]Sheet1!$E$49</f>
        <v>1173863.4095999999</v>
      </c>
      <c r="M59" s="31">
        <f>[1]Sheet1!$H$59+[2]Sheet1!$H$59</f>
        <v>380778.56809999997</v>
      </c>
      <c r="N59" s="31">
        <f>[1]Sheet1!$K$13+[2]Sheet1!$K$13</f>
        <v>0</v>
      </c>
      <c r="O59" s="31">
        <f>E61+576378.27+95278.96+23800</f>
        <v>15747660.261999998</v>
      </c>
    </row>
    <row r="60" spans="1:15" ht="14.25" x14ac:dyDescent="0.2">
      <c r="A60" s="19"/>
      <c r="B60" s="20" t="s">
        <v>50</v>
      </c>
      <c r="C60" s="21">
        <f>SUM(C58:C59)</f>
        <v>1989440.37</v>
      </c>
      <c r="D60" s="22">
        <f>SUM(D58:D59)</f>
        <v>417782.47769999999</v>
      </c>
      <c r="E60" s="21">
        <f>SUM(E58:E59)</f>
        <v>2407222.8476999998</v>
      </c>
      <c r="F60" s="21">
        <f>SUM(F59)</f>
        <v>319981.99</v>
      </c>
      <c r="G60" s="21">
        <f>SUM(G59)</f>
        <v>67196.217899999989</v>
      </c>
      <c r="H60" s="21">
        <f>SUM(H59)</f>
        <v>387178.20789999998</v>
      </c>
      <c r="I60" s="21">
        <f>SUM(I58:I59)</f>
        <v>1669458.38</v>
      </c>
      <c r="J60" s="21">
        <f>SUM(J58:J59)</f>
        <v>350586.2598</v>
      </c>
      <c r="K60" s="21">
        <f>SUM(K58:K59)</f>
        <v>2020044.6398</v>
      </c>
      <c r="L60" s="31">
        <f>[1]Sheet1!$E$60+[2]Sheet1!$E$60</f>
        <v>2367434.0403</v>
      </c>
      <c r="M60" s="31">
        <f>[1]Sheet1!$H$60+[2]Sheet1!$H$60</f>
        <v>380778.56809999997</v>
      </c>
      <c r="N60" s="31">
        <f>[1]Sheet1!$K$13+[2]Sheet1!$K$13</f>
        <v>0</v>
      </c>
    </row>
    <row r="61" spans="1:15" ht="28.5" x14ac:dyDescent="0.2">
      <c r="A61" s="23"/>
      <c r="B61" s="24" t="s">
        <v>51</v>
      </c>
      <c r="C61" s="25">
        <f>SUM(C16,C20,C43,C50,C55,C60)</f>
        <v>12439837.199999999</v>
      </c>
      <c r="D61" s="25">
        <f>SUM(D16,D20,D43,D50,D55,D60)</f>
        <v>2612365.8119999999</v>
      </c>
      <c r="E61" s="25">
        <f>SUM(E16,E20,E43,E50,E55,E60)+0.02</f>
        <v>15052203.031999998</v>
      </c>
      <c r="F61" s="25">
        <f>SUM(F16,F20,F43,F50,F60)</f>
        <v>4153030.4700000007</v>
      </c>
      <c r="G61" s="25">
        <f>SUM(G16,G20,G43,G50,G60)+0.01</f>
        <v>872136.40870000003</v>
      </c>
      <c r="H61" s="25">
        <f>SUM(H16,H20,H43,H50,H60)</f>
        <v>5025166.8686999995</v>
      </c>
      <c r="I61" s="25">
        <f>SUM(I16,I20,I43,I50,I55,I60)</f>
        <v>8286806.7299999995</v>
      </c>
      <c r="J61" s="25">
        <f>SUM(J16,J20,J43,J50,J55,J60)+0.01</f>
        <v>1740229.4233000001</v>
      </c>
      <c r="K61" s="25">
        <f>SUM(K16,K20,K43,K50,K55,K60)+0.01</f>
        <v>10027036.1533</v>
      </c>
      <c r="L61" s="31">
        <f>[1]Sheet1!$E$61+[2]Sheet1!$E$61</f>
        <v>14803406.267999999</v>
      </c>
      <c r="M61" s="31">
        <f>[1]Sheet1!$H$61+[2]Sheet1!$H$61</f>
        <v>4942106.2593</v>
      </c>
      <c r="N61" s="31">
        <f>[1]Sheet1!$K$61+[2]Sheet1!$K$61</f>
        <v>9861299.9886999987</v>
      </c>
    </row>
    <row r="62" spans="1:15" ht="14.25" x14ac:dyDescent="0.2">
      <c r="A62" s="13"/>
      <c r="B62" s="14"/>
      <c r="C62" s="15"/>
      <c r="D62" s="15"/>
      <c r="E62" s="15"/>
      <c r="F62" s="15"/>
      <c r="G62" s="15"/>
      <c r="H62" s="15"/>
      <c r="I62" s="15"/>
      <c r="J62" s="15"/>
      <c r="K62" s="16"/>
      <c r="L62" s="31"/>
      <c r="M62" s="31"/>
      <c r="N62" s="31">
        <f>[1]Sheet1!$K$13+[2]Sheet1!$K$13</f>
        <v>0</v>
      </c>
    </row>
    <row r="63" spans="1:15" ht="14.25" x14ac:dyDescent="0.2">
      <c r="A63" s="64" t="s">
        <v>52</v>
      </c>
      <c r="B63" s="65"/>
      <c r="C63" s="65"/>
      <c r="D63" s="65"/>
      <c r="E63" s="65"/>
      <c r="F63" s="65"/>
      <c r="G63" s="65"/>
      <c r="H63" s="65"/>
      <c r="I63" s="65"/>
      <c r="J63" s="65"/>
      <c r="K63" s="66"/>
      <c r="L63" s="31"/>
      <c r="M63" s="31"/>
      <c r="N63" s="31">
        <f>[1]Sheet1!$K$13+[2]Sheet1!$K$13</f>
        <v>0</v>
      </c>
    </row>
    <row r="64" spans="1:15" ht="42.75" x14ac:dyDescent="0.2">
      <c r="A64" s="26"/>
      <c r="B64" s="6" t="s">
        <v>53</v>
      </c>
      <c r="C64" s="27">
        <f>H61*7%</f>
        <v>351761.68080899998</v>
      </c>
      <c r="D64" s="28"/>
      <c r="E64" s="27">
        <f>C64</f>
        <v>351761.68080899998</v>
      </c>
      <c r="F64" s="27">
        <f>C64</f>
        <v>351761.68080899998</v>
      </c>
      <c r="G64" s="28"/>
      <c r="H64" s="27">
        <f>F64</f>
        <v>351761.68080899998</v>
      </c>
      <c r="I64" s="18"/>
      <c r="J64" s="18"/>
      <c r="K64" s="18"/>
      <c r="L64" s="31">
        <f>[1]Sheet1!$E$64+[2]Sheet1!$E$64</f>
        <v>345947.43815100007</v>
      </c>
      <c r="M64" s="31">
        <f>[1]Sheet1!$H$64+[2]Sheet1!$H$64</f>
        <v>345947.43815100007</v>
      </c>
      <c r="N64" s="31">
        <f>[1]Sheet1!$K$13+[2]Sheet1!$K$13</f>
        <v>0</v>
      </c>
    </row>
    <row r="65" spans="1:14" ht="28.5" x14ac:dyDescent="0.2">
      <c r="A65" s="7"/>
      <c r="B65" s="8" t="s">
        <v>54</v>
      </c>
      <c r="C65" s="29">
        <f>C64</f>
        <v>351761.68080899998</v>
      </c>
      <c r="D65" s="30"/>
      <c r="E65" s="29">
        <f>E64</f>
        <v>351761.68080899998</v>
      </c>
      <c r="F65" s="29">
        <f>F64</f>
        <v>351761.68080899998</v>
      </c>
      <c r="G65" s="30"/>
      <c r="H65" s="29">
        <f>H64</f>
        <v>351761.68080899998</v>
      </c>
      <c r="I65" s="18"/>
      <c r="J65" s="18"/>
      <c r="K65" s="18"/>
      <c r="L65" s="31">
        <f>[1]Sheet1!$E$65+[2]Sheet1!$E$65</f>
        <v>345947.43815100007</v>
      </c>
      <c r="M65" s="31">
        <f>[1]Sheet1!$H$65+[2]Sheet1!$H$65</f>
        <v>345947.43815100007</v>
      </c>
      <c r="N65" s="31">
        <f>[1]Sheet1!$K$13+[2]Sheet1!$K$13</f>
        <v>0</v>
      </c>
    </row>
    <row r="66" spans="1:14" ht="14.25" x14ac:dyDescent="0.2">
      <c r="A66" s="67" t="s">
        <v>55</v>
      </c>
      <c r="B66" s="68"/>
      <c r="C66" s="25">
        <f>C61+C65</f>
        <v>12791598.880809</v>
      </c>
      <c r="D66" s="25">
        <f>D61+D65</f>
        <v>2612365.8119999999</v>
      </c>
      <c r="E66" s="25">
        <f>E61+E65</f>
        <v>15403964.712808998</v>
      </c>
      <c r="F66" s="25">
        <f t="shared" ref="F66:K66" si="38">F61+F65</f>
        <v>4504792.1508090002</v>
      </c>
      <c r="G66" s="25">
        <f>G61+G65</f>
        <v>872136.40870000003</v>
      </c>
      <c r="H66" s="25">
        <f>H61+H65+0.01</f>
        <v>5376928.5595089989</v>
      </c>
      <c r="I66" s="25">
        <f t="shared" si="38"/>
        <v>8286806.7299999995</v>
      </c>
      <c r="J66" s="25">
        <f>J61+J65</f>
        <v>1740229.4233000001</v>
      </c>
      <c r="K66" s="25">
        <f t="shared" si="38"/>
        <v>10027036.1533</v>
      </c>
      <c r="L66" s="31">
        <f>[1]Sheet1!$E$66+[2]Sheet1!$E$66</f>
        <v>15149353.706150999</v>
      </c>
      <c r="M66" s="31">
        <f>[1]Sheet1!$H$66+[2]Sheet1!$H$66</f>
        <v>5288053.7174510006</v>
      </c>
      <c r="N66" s="31">
        <f>[1]Sheet1!$K$66+[2]Sheet1!$K$66</f>
        <v>9861299.9886999987</v>
      </c>
    </row>
    <row r="67" spans="1:14" ht="118.5" customHeight="1" x14ac:dyDescent="0.2">
      <c r="A67" s="1"/>
      <c r="B67" s="1" t="s">
        <v>84</v>
      </c>
      <c r="C67" s="33"/>
      <c r="D67" s="33"/>
      <c r="E67" s="33"/>
      <c r="F67" s="33"/>
      <c r="G67" s="33"/>
      <c r="H67" s="1" t="s">
        <v>56</v>
      </c>
      <c r="I67" s="33"/>
      <c r="J67" s="33"/>
      <c r="K67" s="33"/>
    </row>
  </sheetData>
  <mergeCells count="15">
    <mergeCell ref="A63:K63"/>
    <mergeCell ref="A66:B66"/>
    <mergeCell ref="A2:L2"/>
    <mergeCell ref="A11:K11"/>
    <mergeCell ref="A18:K18"/>
    <mergeCell ref="A22:K22"/>
    <mergeCell ref="A45:K45"/>
    <mergeCell ref="A52:K52"/>
    <mergeCell ref="A57:K57"/>
    <mergeCell ref="A6:A8"/>
    <mergeCell ref="B6:B8"/>
    <mergeCell ref="C6:E6"/>
    <mergeCell ref="F6:H6"/>
    <mergeCell ref="I6:K6"/>
    <mergeCell ref="A10:K10"/>
  </mergeCells>
  <pageMargins left="0.7" right="0.7" top="0.75" bottom="0.75" header="0.3" footer="0.3"/>
  <pageSetup paperSize="8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5" ma:contentTypeDescription="Create a new document." ma:contentTypeScope="" ma:versionID="42529c573e00139232443a9957ea0bf1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78cb14b87dadb0005173e9ee169c77cd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D01F3-A894-4557-BB05-908C78EB6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C8E388-19BC-4C2D-A02F-F681E05824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Fabian</dc:creator>
  <cp:lastModifiedBy>Simona Fabian</cp:lastModifiedBy>
  <cp:revision/>
  <cp:lastPrinted>2025-07-21T09:04:28Z</cp:lastPrinted>
  <dcterms:created xsi:type="dcterms:W3CDTF">2024-08-16T08:06:55Z</dcterms:created>
  <dcterms:modified xsi:type="dcterms:W3CDTF">2025-08-06T12:15:55Z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2024-08-16T00:00:00Z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2024-08-16T00:00:00Z</vt:filetime>
  </property>
  <property fmtid="{D5CDD505-2E9C-101B-9397-08002B2CF9AE}" pid="5" name="Producer">
    <vt:lpwstr>Microsoft® Word for Microsoft 365</vt:lpwstr>
  </property>
</Properties>
</file>